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E:\ASESORIAS\LICITACION PUBLICA REGIONAL SUCRE\1. ESTUDIO DE MERCADO\"/>
    </mc:Choice>
  </mc:AlternateContent>
  <xr:revisionPtr revIDLastSave="0" documentId="13_ncr:1_{C4B55ACB-A6AF-4649-91CB-2F09211643AB}" xr6:coauthVersionLast="47" xr6:coauthVersionMax="47" xr10:uidLastSave="{00000000-0000-0000-0000-000000000000}"/>
  <bookViews>
    <workbookView xWindow="-120" yWindow="-120" windowWidth="20730" windowHeight="11160" xr2:uid="{CA2C67B4-C6B9-452F-9ADF-0E3E0E391135}"/>
  </bookViews>
  <sheets>
    <sheet name="ZONA 1 9,77" sheetId="1" r:id="rId1"/>
    <sheet name="ZONA 1 9,85 POR 14 DÍAS" sheetId="2" r:id="rId2"/>
    <sheet name="ZONA 1 10,21 POR 16 DÍAS" sheetId="3" r:id="rId3"/>
    <sheet name="ZONA 1 10,21" sheetId="4" r:id="rId4"/>
    <sheet name="RESUMEN" sheetId="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6" l="1"/>
  <c r="D5" i="6"/>
  <c r="D2" i="6"/>
  <c r="C12" i="6"/>
  <c r="D11" i="6" l="1"/>
  <c r="AB138" i="1" l="1"/>
  <c r="AB135" i="4"/>
  <c r="AG126" i="4"/>
  <c r="AC126" i="4"/>
  <c r="AD126" i="4"/>
  <c r="AE126" i="4"/>
  <c r="AF126" i="4"/>
  <c r="AB126" i="4"/>
  <c r="AC126" i="3"/>
  <c r="AD126" i="3"/>
  <c r="AE126" i="3"/>
  <c r="AF126" i="3"/>
  <c r="AG126" i="3"/>
  <c r="AB126" i="3"/>
  <c r="AC126" i="2"/>
  <c r="AD126" i="2"/>
  <c r="AE126" i="2"/>
  <c r="AF126" i="2"/>
  <c r="AG126" i="2"/>
  <c r="AB126" i="2"/>
  <c r="AB137" i="1"/>
  <c r="AC126" i="1"/>
  <c r="AD126" i="1"/>
  <c r="AE126" i="1"/>
  <c r="AF126" i="1"/>
  <c r="AG126" i="1"/>
  <c r="AB126" i="1"/>
  <c r="AB115" i="1"/>
  <c r="E138" i="4" l="1"/>
  <c r="AC2" i="4"/>
  <c r="AD2" i="4"/>
  <c r="AE2" i="4"/>
  <c r="AF2" i="4"/>
  <c r="AG2" i="4"/>
  <c r="AB2" i="4"/>
  <c r="AG2" i="3"/>
  <c r="AF2" i="3"/>
  <c r="AE2" i="3"/>
  <c r="AD2" i="3"/>
  <c r="AC2" i="3"/>
  <c r="AB2" i="3"/>
  <c r="AG2" i="2"/>
  <c r="AF2" i="2"/>
  <c r="AE2" i="2"/>
  <c r="AD2" i="2"/>
  <c r="AC2" i="2"/>
  <c r="AB2" i="2"/>
  <c r="Z2" i="4"/>
  <c r="Y2" i="4"/>
  <c r="X2" i="4"/>
  <c r="W2" i="4"/>
  <c r="V2" i="4"/>
  <c r="U2" i="4"/>
  <c r="T2" i="4"/>
  <c r="S2" i="4"/>
  <c r="S3" i="4" s="1"/>
  <c r="R2" i="4"/>
  <c r="Q2" i="4"/>
  <c r="P2" i="4"/>
  <c r="O2" i="4"/>
  <c r="O3" i="4" s="1"/>
  <c r="N2" i="4"/>
  <c r="M2" i="4"/>
  <c r="L2" i="4"/>
  <c r="K2" i="4"/>
  <c r="K3" i="4" s="1"/>
  <c r="J2" i="4"/>
  <c r="I2" i="4"/>
  <c r="H2" i="4"/>
  <c r="G2" i="4"/>
  <c r="F2" i="4"/>
  <c r="E2" i="4"/>
  <c r="Z2" i="3"/>
  <c r="V2" i="3"/>
  <c r="U2" i="3"/>
  <c r="T2" i="3"/>
  <c r="R2" i="3"/>
  <c r="O2" i="3"/>
  <c r="L2" i="3"/>
  <c r="K2" i="3"/>
  <c r="K3" i="3" s="1"/>
  <c r="I2" i="3"/>
  <c r="H2" i="3"/>
  <c r="G2" i="3"/>
  <c r="F2" i="3"/>
  <c r="E2" i="3"/>
  <c r="O3" i="3"/>
  <c r="G3" i="3"/>
  <c r="Y2" i="3"/>
  <c r="X2" i="3"/>
  <c r="W2" i="3"/>
  <c r="S2" i="3"/>
  <c r="S3" i="3" s="1"/>
  <c r="Q2" i="3"/>
  <c r="P2" i="3"/>
  <c r="O4" i="3"/>
  <c r="N2" i="3"/>
  <c r="M2" i="3"/>
  <c r="J2" i="3"/>
  <c r="G4" i="3"/>
  <c r="N2" i="2"/>
  <c r="Z2" i="2"/>
  <c r="Y2" i="2"/>
  <c r="X2" i="2"/>
  <c r="V2" i="2"/>
  <c r="U2" i="2"/>
  <c r="T2" i="2"/>
  <c r="S2" i="2"/>
  <c r="R2" i="2"/>
  <c r="Q2" i="2"/>
  <c r="P2" i="2"/>
  <c r="O2" i="2"/>
  <c r="M2" i="2"/>
  <c r="L2" i="2"/>
  <c r="L3" i="2" s="1"/>
  <c r="K2" i="2"/>
  <c r="T3" i="2"/>
  <c r="J2" i="2"/>
  <c r="I2" i="2"/>
  <c r="H2" i="2"/>
  <c r="G2" i="2"/>
  <c r="F2" i="2"/>
  <c r="E2" i="2"/>
  <c r="H3" i="2"/>
  <c r="G3" i="2"/>
  <c r="W2" i="2"/>
  <c r="H4" i="2"/>
  <c r="G4" i="2"/>
  <c r="I2" i="1"/>
  <c r="T2" i="1"/>
  <c r="E150" i="1"/>
  <c r="W2" i="1"/>
  <c r="I3" i="1"/>
  <c r="Z2" i="1"/>
  <c r="Y2" i="1"/>
  <c r="Y3" i="1" s="1"/>
  <c r="X2" i="1"/>
  <c r="V2" i="1"/>
  <c r="U2" i="1"/>
  <c r="S2" i="1"/>
  <c r="R2" i="1"/>
  <c r="Q2" i="1"/>
  <c r="P2" i="1"/>
  <c r="N2" i="1"/>
  <c r="M2" i="1"/>
  <c r="L2" i="1"/>
  <c r="K2" i="1"/>
  <c r="J2" i="1"/>
  <c r="E2" i="1"/>
  <c r="O2" i="1"/>
  <c r="O3" i="1" s="1"/>
  <c r="O4" i="1" s="1"/>
  <c r="H2" i="1"/>
  <c r="G2" i="1"/>
  <c r="F2" i="1"/>
  <c r="K4" i="4" l="1"/>
  <c r="K5" i="4" s="1"/>
  <c r="O4" i="4"/>
  <c r="S4" i="4"/>
  <c r="S5" i="4" s="1"/>
  <c r="W4" i="4"/>
  <c r="W5" i="4" s="1"/>
  <c r="G3" i="4"/>
  <c r="W3" i="4"/>
  <c r="O5" i="4"/>
  <c r="H3" i="4"/>
  <c r="H4" i="4" s="1"/>
  <c r="L3" i="4"/>
  <c r="L4" i="4" s="1"/>
  <c r="L5" i="4" s="1"/>
  <c r="P3" i="4"/>
  <c r="T3" i="4"/>
  <c r="T4" i="4" s="1"/>
  <c r="T5" i="4" s="1"/>
  <c r="X3" i="4"/>
  <c r="X4" i="4" s="1"/>
  <c r="E3" i="4"/>
  <c r="E4" i="4" s="1"/>
  <c r="E5" i="4" s="1"/>
  <c r="I3" i="4"/>
  <c r="M3" i="4"/>
  <c r="M4" i="4" s="1"/>
  <c r="M5" i="4" s="1"/>
  <c r="Q3" i="4"/>
  <c r="Q4" i="4" s="1"/>
  <c r="U3" i="4"/>
  <c r="U4" i="4" s="1"/>
  <c r="U5" i="4" s="1"/>
  <c r="Y3" i="4"/>
  <c r="F3" i="4"/>
  <c r="F4" i="4" s="1"/>
  <c r="F5" i="4" s="1"/>
  <c r="J3" i="4"/>
  <c r="N3" i="4"/>
  <c r="N4" i="4" s="1"/>
  <c r="N5" i="4" s="1"/>
  <c r="R3" i="4"/>
  <c r="V3" i="4"/>
  <c r="V4" i="4" s="1"/>
  <c r="V5" i="4" s="1"/>
  <c r="Z3" i="4"/>
  <c r="W4" i="3"/>
  <c r="W3" i="3"/>
  <c r="W5" i="3" s="1"/>
  <c r="S4" i="3"/>
  <c r="S5" i="3" s="1"/>
  <c r="K4" i="3"/>
  <c r="K5" i="3" s="1"/>
  <c r="O5" i="3"/>
  <c r="G5" i="3"/>
  <c r="H3" i="3"/>
  <c r="H4" i="3" s="1"/>
  <c r="H5" i="3" s="1"/>
  <c r="L3" i="3"/>
  <c r="P3" i="3"/>
  <c r="P4" i="3" s="1"/>
  <c r="P5" i="3" s="1"/>
  <c r="T3" i="3"/>
  <c r="T4" i="3" s="1"/>
  <c r="X3" i="3"/>
  <c r="X4" i="3" s="1"/>
  <c r="X5" i="3" s="1"/>
  <c r="E3" i="3"/>
  <c r="E4" i="3" s="1"/>
  <c r="E5" i="3" s="1"/>
  <c r="I3" i="3"/>
  <c r="I4" i="3" s="1"/>
  <c r="M3" i="3"/>
  <c r="Q3" i="3"/>
  <c r="U3" i="3"/>
  <c r="U4" i="3" s="1"/>
  <c r="U5" i="3" s="1"/>
  <c r="Y3" i="3"/>
  <c r="Y4" i="3" s="1"/>
  <c r="F3" i="3"/>
  <c r="F4" i="3" s="1"/>
  <c r="J3" i="3"/>
  <c r="N3" i="3"/>
  <c r="R3" i="3"/>
  <c r="R4" i="3" s="1"/>
  <c r="V3" i="3"/>
  <c r="V4" i="3" s="1"/>
  <c r="Z3" i="3"/>
  <c r="O3" i="2"/>
  <c r="O4" i="2" s="1"/>
  <c r="O5" i="2" s="1"/>
  <c r="W3" i="2"/>
  <c r="W4" i="2" s="1"/>
  <c r="W5" i="2" s="1"/>
  <c r="L4" i="2"/>
  <c r="L5" i="2" s="1"/>
  <c r="T4" i="2"/>
  <c r="T5" i="2" s="1"/>
  <c r="P3" i="2"/>
  <c r="P4" i="2" s="1"/>
  <c r="P5" i="2" s="1"/>
  <c r="X3" i="2"/>
  <c r="X4" i="2" s="1"/>
  <c r="K3" i="2"/>
  <c r="S3" i="2"/>
  <c r="G5" i="2"/>
  <c r="H5" i="2"/>
  <c r="E3" i="2"/>
  <c r="E4" i="2" s="1"/>
  <c r="I3" i="2"/>
  <c r="I4" i="2" s="1"/>
  <c r="I5" i="2" s="1"/>
  <c r="M3" i="2"/>
  <c r="M4" i="2" s="1"/>
  <c r="M5" i="2" s="1"/>
  <c r="Q3" i="2"/>
  <c r="Q4" i="2" s="1"/>
  <c r="Q5" i="2" s="1"/>
  <c r="U3" i="2"/>
  <c r="U4" i="2" s="1"/>
  <c r="Y3" i="2"/>
  <c r="Y4" i="2" s="1"/>
  <c r="Y5" i="2" s="1"/>
  <c r="F3" i="2"/>
  <c r="F4" i="2" s="1"/>
  <c r="F5" i="2" s="1"/>
  <c r="J3" i="2"/>
  <c r="J4" i="2" s="1"/>
  <c r="J5" i="2" s="1"/>
  <c r="N3" i="2"/>
  <c r="R3" i="2"/>
  <c r="V3" i="2"/>
  <c r="V4" i="2" s="1"/>
  <c r="V5" i="2" s="1"/>
  <c r="Z3" i="2"/>
  <c r="Z4" i="2" s="1"/>
  <c r="Z5" i="2" s="1"/>
  <c r="O137" i="1"/>
  <c r="I4" i="1"/>
  <c r="I5" i="1" s="1"/>
  <c r="O5" i="1"/>
  <c r="G3" i="1"/>
  <c r="G4" i="1" s="1"/>
  <c r="G5" i="1" s="1"/>
  <c r="K3" i="1"/>
  <c r="K4" i="1" s="1"/>
  <c r="S3" i="1"/>
  <c r="W3" i="1"/>
  <c r="W4" i="1" s="1"/>
  <c r="W5" i="1" s="1"/>
  <c r="Y4" i="1"/>
  <c r="Y5" i="1" s="1"/>
  <c r="H3" i="1"/>
  <c r="L3" i="1"/>
  <c r="L4" i="1" s="1"/>
  <c r="L5" i="1" s="1"/>
  <c r="P3" i="1"/>
  <c r="T3" i="1"/>
  <c r="T4" i="1" s="1"/>
  <c r="T5" i="1" s="1"/>
  <c r="X3" i="1"/>
  <c r="E3" i="1"/>
  <c r="M3" i="1"/>
  <c r="M4" i="1" s="1"/>
  <c r="Q3" i="1"/>
  <c r="U3" i="1"/>
  <c r="F3" i="1"/>
  <c r="F4" i="1" s="1"/>
  <c r="J3" i="1"/>
  <c r="J4" i="1" s="1"/>
  <c r="N3" i="1"/>
  <c r="N4" i="1" s="1"/>
  <c r="R3" i="1"/>
  <c r="V3" i="1"/>
  <c r="V4" i="1" s="1"/>
  <c r="Z3" i="1"/>
  <c r="G4" i="4" l="1"/>
  <c r="G5" i="4" s="1"/>
  <c r="R4" i="4"/>
  <c r="R5" i="4" s="1"/>
  <c r="X5" i="4"/>
  <c r="H5" i="4"/>
  <c r="Q5" i="4"/>
  <c r="P4" i="4"/>
  <c r="P5" i="4" s="1"/>
  <c r="I4" i="4"/>
  <c r="I5" i="4" s="1"/>
  <c r="Y4" i="4"/>
  <c r="Y5" i="4" s="1"/>
  <c r="Z4" i="4"/>
  <c r="Z5" i="4" s="1"/>
  <c r="J4" i="4"/>
  <c r="J5" i="4" s="1"/>
  <c r="N4" i="3"/>
  <c r="N5" i="3" s="1"/>
  <c r="Y5" i="3"/>
  <c r="M5" i="3"/>
  <c r="M4" i="3"/>
  <c r="V5" i="3"/>
  <c r="F5" i="3"/>
  <c r="J5" i="3"/>
  <c r="I5" i="3"/>
  <c r="Q4" i="3"/>
  <c r="Q5" i="3" s="1"/>
  <c r="T5" i="3"/>
  <c r="Z4" i="3"/>
  <c r="Z5" i="3" s="1"/>
  <c r="J4" i="3"/>
  <c r="R5" i="3"/>
  <c r="L4" i="3"/>
  <c r="L5" i="3" s="1"/>
  <c r="X5" i="2"/>
  <c r="K4" i="2"/>
  <c r="K5" i="2" s="1"/>
  <c r="S4" i="2"/>
  <c r="S5" i="2" s="1"/>
  <c r="U5" i="2"/>
  <c r="E5" i="2"/>
  <c r="R4" i="2"/>
  <c r="R5" i="2" s="1"/>
  <c r="N4" i="2"/>
  <c r="N5" i="2" s="1"/>
  <c r="E4" i="1"/>
  <c r="E5" i="1" s="1"/>
  <c r="J5" i="1"/>
  <c r="M5" i="1"/>
  <c r="Z4" i="1"/>
  <c r="Z5" i="1" s="1"/>
  <c r="R4" i="1"/>
  <c r="R5" i="1" s="1"/>
  <c r="U4" i="1"/>
  <c r="U5" i="1" s="1"/>
  <c r="S4" i="1"/>
  <c r="S5" i="1" s="1"/>
  <c r="V5" i="1"/>
  <c r="F5" i="1"/>
  <c r="P4" i="1"/>
  <c r="P5" i="1" s="1"/>
  <c r="K5" i="1"/>
  <c r="Q4" i="1"/>
  <c r="Q5" i="1" s="1"/>
  <c r="N5" i="1"/>
  <c r="X4" i="1"/>
  <c r="X5" i="1" s="1"/>
  <c r="H4" i="1"/>
  <c r="H5" i="1" s="1"/>
  <c r="AF4" i="2" l="1"/>
  <c r="AE4" i="2"/>
  <c r="AE5" i="2" s="1"/>
  <c r="AG148" i="4"/>
  <c r="AF148" i="4"/>
  <c r="AE148" i="4"/>
  <c r="AD148" i="4"/>
  <c r="AC148" i="4"/>
  <c r="AB148" i="4"/>
  <c r="Z148" i="4"/>
  <c r="Z149" i="4" s="1"/>
  <c r="Y148" i="4"/>
  <c r="Y149" i="4" s="1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K148" i="4"/>
  <c r="J148" i="4"/>
  <c r="I148" i="4"/>
  <c r="H148" i="4"/>
  <c r="G148" i="4"/>
  <c r="F148" i="4"/>
  <c r="E148" i="4"/>
  <c r="AF134" i="4"/>
  <c r="AE134" i="4"/>
  <c r="AD134" i="4"/>
  <c r="Z134" i="4"/>
  <c r="Y134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L134" i="4"/>
  <c r="J134" i="4"/>
  <c r="I134" i="4"/>
  <c r="H134" i="4"/>
  <c r="G134" i="4"/>
  <c r="F134" i="4"/>
  <c r="E134" i="4"/>
  <c r="AG127" i="4"/>
  <c r="AG134" i="4" s="1"/>
  <c r="AC127" i="4"/>
  <c r="AC134" i="4" s="1"/>
  <c r="AB127" i="4"/>
  <c r="AB134" i="4" s="1"/>
  <c r="AA125" i="4"/>
  <c r="AA124" i="4"/>
  <c r="AG123" i="4"/>
  <c r="AF123" i="4"/>
  <c r="AE123" i="4"/>
  <c r="AD123" i="4"/>
  <c r="AC123" i="4"/>
  <c r="AB123" i="4"/>
  <c r="Z123" i="4"/>
  <c r="Y123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M136" i="4" s="1"/>
  <c r="L123" i="4"/>
  <c r="J123" i="4"/>
  <c r="I123" i="4"/>
  <c r="H123" i="4"/>
  <c r="G123" i="4"/>
  <c r="F123" i="4"/>
  <c r="E123" i="4"/>
  <c r="AA114" i="4"/>
  <c r="AA113" i="4"/>
  <c r="AG112" i="4"/>
  <c r="AF112" i="4"/>
  <c r="AE112" i="4"/>
  <c r="AE136" i="4" s="1"/>
  <c r="AD112" i="4"/>
  <c r="AC112" i="4"/>
  <c r="AB112" i="4"/>
  <c r="Z112" i="4"/>
  <c r="Z136" i="4" s="1"/>
  <c r="Z137" i="4" s="1"/>
  <c r="Y112" i="4"/>
  <c r="X112" i="4"/>
  <c r="W112" i="4"/>
  <c r="V112" i="4"/>
  <c r="U112" i="4"/>
  <c r="T112" i="4"/>
  <c r="S112" i="4"/>
  <c r="R112" i="4"/>
  <c r="Q112" i="4"/>
  <c r="P112" i="4"/>
  <c r="O112" i="4"/>
  <c r="N112" i="4"/>
  <c r="N138" i="4" s="1"/>
  <c r="M112" i="4"/>
  <c r="L112" i="4"/>
  <c r="J112" i="4"/>
  <c r="I112" i="4"/>
  <c r="I136" i="4" s="1"/>
  <c r="H112" i="4"/>
  <c r="G112" i="4"/>
  <c r="F112" i="4"/>
  <c r="E112" i="4"/>
  <c r="AA98" i="4"/>
  <c r="AA97" i="4"/>
  <c r="AG96" i="4"/>
  <c r="AG99" i="4" s="1"/>
  <c r="AF96" i="4"/>
  <c r="AE96" i="4"/>
  <c r="AD96" i="4"/>
  <c r="AC96" i="4"/>
  <c r="AB96" i="4"/>
  <c r="Z96" i="4"/>
  <c r="Y96" i="4"/>
  <c r="X96" i="4"/>
  <c r="W96" i="4"/>
  <c r="V96" i="4"/>
  <c r="U96" i="4"/>
  <c r="T96" i="4"/>
  <c r="S96" i="4"/>
  <c r="R96" i="4"/>
  <c r="Q96" i="4"/>
  <c r="P96" i="4"/>
  <c r="O96" i="4"/>
  <c r="N96" i="4"/>
  <c r="M96" i="4"/>
  <c r="L96" i="4"/>
  <c r="J96" i="4"/>
  <c r="I96" i="4"/>
  <c r="H96" i="4"/>
  <c r="G96" i="4"/>
  <c r="F96" i="4"/>
  <c r="E96" i="4"/>
  <c r="AA82" i="4"/>
  <c r="AA81" i="4"/>
  <c r="AG80" i="4"/>
  <c r="AF80" i="4"/>
  <c r="AE80" i="4"/>
  <c r="AC80" i="4"/>
  <c r="AB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J80" i="4"/>
  <c r="I80" i="4"/>
  <c r="H80" i="4"/>
  <c r="G80" i="4"/>
  <c r="F80" i="4"/>
  <c r="E80" i="4"/>
  <c r="AD75" i="4"/>
  <c r="AD80" i="4" s="1"/>
  <c r="AA72" i="4"/>
  <c r="AA71" i="4"/>
  <c r="AF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J70" i="4"/>
  <c r="I70" i="4"/>
  <c r="H70" i="4"/>
  <c r="G70" i="4"/>
  <c r="F70" i="4"/>
  <c r="E70" i="4"/>
  <c r="AA70" i="4"/>
  <c r="AG61" i="4"/>
  <c r="AG70" i="4" s="1"/>
  <c r="AF61" i="4"/>
  <c r="AE61" i="4"/>
  <c r="AE70" i="4" s="1"/>
  <c r="AD61" i="4"/>
  <c r="AD70" i="4" s="1"/>
  <c r="AC61" i="4"/>
  <c r="AC70" i="4"/>
  <c r="AB61" i="4"/>
  <c r="AB58" i="4"/>
  <c r="AA50" i="4"/>
  <c r="AA49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K136" i="4" s="1"/>
  <c r="J48" i="4"/>
  <c r="I48" i="4"/>
  <c r="H48" i="4"/>
  <c r="G48" i="4"/>
  <c r="AA48" i="4" s="1"/>
  <c r="F48" i="4"/>
  <c r="E48" i="4"/>
  <c r="AB47" i="4"/>
  <c r="AB44" i="4"/>
  <c r="AG43" i="4"/>
  <c r="AG48" i="4"/>
  <c r="AC43" i="4"/>
  <c r="AB43" i="4"/>
  <c r="AB48" i="4" s="1"/>
  <c r="AA35" i="4"/>
  <c r="AA34" i="4"/>
  <c r="AF33" i="4"/>
  <c r="AF136" i="4" s="1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O33" i="4"/>
  <c r="O136" i="4"/>
  <c r="N33" i="4"/>
  <c r="M33" i="4"/>
  <c r="L33" i="4"/>
  <c r="J33" i="4"/>
  <c r="I33" i="4"/>
  <c r="H33" i="4"/>
  <c r="G33" i="4"/>
  <c r="F33" i="4"/>
  <c r="F136" i="4" s="1"/>
  <c r="E33" i="4"/>
  <c r="AB27" i="4"/>
  <c r="AB21" i="4"/>
  <c r="AB20" i="4"/>
  <c r="AG19" i="4"/>
  <c r="AG17" i="4"/>
  <c r="AG16" i="4"/>
  <c r="AB16" i="4"/>
  <c r="AB33" i="4" s="1"/>
  <c r="AB9" i="4"/>
  <c r="AG4" i="4"/>
  <c r="AG5" i="4" s="1"/>
  <c r="AF4" i="4"/>
  <c r="AF5" i="4" s="1"/>
  <c r="AE4" i="4"/>
  <c r="AE5" i="4" s="1"/>
  <c r="AD4" i="4"/>
  <c r="AD5" i="4"/>
  <c r="AC4" i="4"/>
  <c r="AC5" i="4"/>
  <c r="AC73" i="4" s="1"/>
  <c r="AB4" i="4"/>
  <c r="AB5" i="4" s="1"/>
  <c r="AG148" i="3"/>
  <c r="AF148" i="3"/>
  <c r="AE148" i="3"/>
  <c r="AD148" i="3"/>
  <c r="AC148" i="3"/>
  <c r="AB148" i="3"/>
  <c r="Z148" i="3"/>
  <c r="Z149" i="3" s="1"/>
  <c r="Y148" i="3"/>
  <c r="Y149" i="3"/>
  <c r="X148" i="3"/>
  <c r="W148" i="3"/>
  <c r="V148" i="3"/>
  <c r="U148" i="3"/>
  <c r="T148" i="3"/>
  <c r="S148" i="3"/>
  <c r="R148" i="3"/>
  <c r="Q148" i="3"/>
  <c r="P148" i="3"/>
  <c r="O148" i="3"/>
  <c r="N148" i="3"/>
  <c r="M148" i="3"/>
  <c r="L148" i="3"/>
  <c r="K148" i="3"/>
  <c r="J148" i="3"/>
  <c r="I148" i="3"/>
  <c r="H148" i="3"/>
  <c r="G148" i="3"/>
  <c r="F148" i="3"/>
  <c r="E148" i="3"/>
  <c r="AF134" i="3"/>
  <c r="AE134" i="3"/>
  <c r="AD134" i="3"/>
  <c r="Z134" i="3"/>
  <c r="Y134" i="3"/>
  <c r="X134" i="3"/>
  <c r="W134" i="3"/>
  <c r="V134" i="3"/>
  <c r="U134" i="3"/>
  <c r="T134" i="3"/>
  <c r="S134" i="3"/>
  <c r="R134" i="3"/>
  <c r="Q134" i="3"/>
  <c r="P134" i="3"/>
  <c r="O134" i="3"/>
  <c r="N134" i="3"/>
  <c r="M134" i="3"/>
  <c r="L134" i="3"/>
  <c r="J134" i="3"/>
  <c r="I134" i="3"/>
  <c r="H134" i="3"/>
  <c r="G134" i="3"/>
  <c r="F134" i="3"/>
  <c r="E134" i="3"/>
  <c r="AG127" i="3"/>
  <c r="AG134" i="3"/>
  <c r="AC127" i="3"/>
  <c r="AC134" i="3" s="1"/>
  <c r="AB127" i="3"/>
  <c r="AB134" i="3" s="1"/>
  <c r="AA125" i="3"/>
  <c r="AA124" i="3"/>
  <c r="AG123" i="3"/>
  <c r="AF123" i="3"/>
  <c r="AE123" i="3"/>
  <c r="AD123" i="3"/>
  <c r="AC123" i="3"/>
  <c r="AB123" i="3"/>
  <c r="Z123" i="3"/>
  <c r="Y123" i="3"/>
  <c r="X123" i="3"/>
  <c r="W123" i="3"/>
  <c r="V123" i="3"/>
  <c r="U123" i="3"/>
  <c r="T123" i="3"/>
  <c r="S123" i="3"/>
  <c r="R123" i="3"/>
  <c r="Q123" i="3"/>
  <c r="P123" i="3"/>
  <c r="O123" i="3"/>
  <c r="N123" i="3"/>
  <c r="M123" i="3"/>
  <c r="L123" i="3"/>
  <c r="J123" i="3"/>
  <c r="I123" i="3"/>
  <c r="H123" i="3"/>
  <c r="G123" i="3"/>
  <c r="F123" i="3"/>
  <c r="E123" i="3"/>
  <c r="AA123" i="3" s="1"/>
  <c r="AA114" i="3"/>
  <c r="AA113" i="3"/>
  <c r="AG112" i="3"/>
  <c r="AF112" i="3"/>
  <c r="AE112" i="3"/>
  <c r="AD112" i="3"/>
  <c r="AC112" i="3"/>
  <c r="AB112" i="3"/>
  <c r="Z112" i="3"/>
  <c r="Y112" i="3"/>
  <c r="X112" i="3"/>
  <c r="W112" i="3"/>
  <c r="V112" i="3"/>
  <c r="U112" i="3"/>
  <c r="T112" i="3"/>
  <c r="S112" i="3"/>
  <c r="R112" i="3"/>
  <c r="Q112" i="3"/>
  <c r="P112" i="3"/>
  <c r="O112" i="3"/>
  <c r="N112" i="3"/>
  <c r="M112" i="3"/>
  <c r="L112" i="3"/>
  <c r="J112" i="3"/>
  <c r="I112" i="3"/>
  <c r="H112" i="3"/>
  <c r="G112" i="3"/>
  <c r="F112" i="3"/>
  <c r="AA112" i="3" s="1"/>
  <c r="E112" i="3"/>
  <c r="AA98" i="3"/>
  <c r="AA97" i="3"/>
  <c r="AG96" i="3"/>
  <c r="AF96" i="3"/>
  <c r="AE96" i="3"/>
  <c r="AD96" i="3"/>
  <c r="AC96" i="3"/>
  <c r="AB96" i="3"/>
  <c r="Z96" i="3"/>
  <c r="Y96" i="3"/>
  <c r="X96" i="3"/>
  <c r="W96" i="3"/>
  <c r="V96" i="3"/>
  <c r="U96" i="3"/>
  <c r="T96" i="3"/>
  <c r="S96" i="3"/>
  <c r="R96" i="3"/>
  <c r="Q96" i="3"/>
  <c r="P96" i="3"/>
  <c r="O96" i="3"/>
  <c r="N96" i="3"/>
  <c r="M96" i="3"/>
  <c r="L96" i="3"/>
  <c r="J96" i="3"/>
  <c r="I96" i="3"/>
  <c r="H96" i="3"/>
  <c r="G96" i="3"/>
  <c r="F96" i="3"/>
  <c r="E96" i="3"/>
  <c r="AA82" i="3"/>
  <c r="AA81" i="3"/>
  <c r="AG80" i="3"/>
  <c r="AF80" i="3"/>
  <c r="AE80" i="3"/>
  <c r="AC80" i="3"/>
  <c r="AB80" i="3"/>
  <c r="Z80" i="3"/>
  <c r="Y80" i="3"/>
  <c r="X80" i="3"/>
  <c r="X136" i="3" s="1"/>
  <c r="X150" i="3" s="1"/>
  <c r="W80" i="3"/>
  <c r="V80" i="3"/>
  <c r="U80" i="3"/>
  <c r="T80" i="3"/>
  <c r="T138" i="3" s="1"/>
  <c r="S80" i="3"/>
  <c r="R80" i="3"/>
  <c r="Q80" i="3"/>
  <c r="P80" i="3"/>
  <c r="P138" i="3" s="1"/>
  <c r="O80" i="3"/>
  <c r="N80" i="3"/>
  <c r="M80" i="3"/>
  <c r="L80" i="3"/>
  <c r="L138" i="3" s="1"/>
  <c r="J80" i="3"/>
  <c r="I80" i="3"/>
  <c r="H80" i="3"/>
  <c r="G80" i="3"/>
  <c r="G136" i="3" s="1"/>
  <c r="F80" i="3"/>
  <c r="E80" i="3"/>
  <c r="AD75" i="3"/>
  <c r="AD80" i="3"/>
  <c r="AA72" i="3"/>
  <c r="AA71" i="3"/>
  <c r="Z70" i="3"/>
  <c r="Y70" i="3"/>
  <c r="X70" i="3"/>
  <c r="W70" i="3"/>
  <c r="W136" i="3"/>
  <c r="W150" i="3" s="1"/>
  <c r="V70" i="3"/>
  <c r="U70" i="3"/>
  <c r="T70" i="3"/>
  <c r="S70" i="3"/>
  <c r="R70" i="3"/>
  <c r="Q70" i="3"/>
  <c r="P70" i="3"/>
  <c r="O70" i="3"/>
  <c r="N70" i="3"/>
  <c r="M70" i="3"/>
  <c r="L70" i="3"/>
  <c r="J70" i="3"/>
  <c r="I70" i="3"/>
  <c r="H70" i="3"/>
  <c r="G70" i="3"/>
  <c r="F70" i="3"/>
  <c r="F73" i="3" s="1"/>
  <c r="E70" i="3"/>
  <c r="AG61" i="3"/>
  <c r="AG70" i="3" s="1"/>
  <c r="AF61" i="3"/>
  <c r="AF70" i="3" s="1"/>
  <c r="AE61" i="3"/>
  <c r="AE70" i="3"/>
  <c r="AD61" i="3"/>
  <c r="AD70" i="3" s="1"/>
  <c r="AC61" i="3"/>
  <c r="AC70" i="3"/>
  <c r="AB61" i="3"/>
  <c r="AB58" i="3"/>
  <c r="AB70" i="3" s="1"/>
  <c r="AA50" i="3"/>
  <c r="AA49" i="3"/>
  <c r="AF48" i="3"/>
  <c r="AF136" i="3" s="1"/>
  <c r="AF137" i="3" s="1"/>
  <c r="AE48" i="3"/>
  <c r="AD48" i="3"/>
  <c r="Z48" i="3"/>
  <c r="Z138" i="3" s="1"/>
  <c r="Y48" i="3"/>
  <c r="X48" i="3"/>
  <c r="W48" i="3"/>
  <c r="V48" i="3"/>
  <c r="V136" i="3" s="1"/>
  <c r="V137" i="3" s="1"/>
  <c r="U48" i="3"/>
  <c r="T48" i="3"/>
  <c r="S48" i="3"/>
  <c r="R48" i="3"/>
  <c r="Q48" i="3"/>
  <c r="P48" i="3"/>
  <c r="O48" i="3"/>
  <c r="N48" i="3"/>
  <c r="M48" i="3"/>
  <c r="L48" i="3"/>
  <c r="K48" i="3"/>
  <c r="K136" i="3"/>
  <c r="K150" i="3" s="1"/>
  <c r="J48" i="3"/>
  <c r="I48" i="3"/>
  <c r="H48" i="3"/>
  <c r="G48" i="3"/>
  <c r="F48" i="3"/>
  <c r="E48" i="3"/>
  <c r="AB47" i="3"/>
  <c r="AB44" i="3"/>
  <c r="AG43" i="3"/>
  <c r="AG48" i="3" s="1"/>
  <c r="AC43" i="3"/>
  <c r="AC48" i="3" s="1"/>
  <c r="AB43" i="3"/>
  <c r="AB48" i="3" s="1"/>
  <c r="AA35" i="3"/>
  <c r="AA34" i="3"/>
  <c r="AF33" i="3"/>
  <c r="AE33" i="3"/>
  <c r="AD33" i="3"/>
  <c r="AC33" i="3"/>
  <c r="Z33" i="3"/>
  <c r="Y33" i="3"/>
  <c r="X33" i="3"/>
  <c r="W33" i="3"/>
  <c r="V33" i="3"/>
  <c r="U33" i="3"/>
  <c r="T33" i="3"/>
  <c r="S33" i="3"/>
  <c r="R33" i="3"/>
  <c r="Q33" i="3"/>
  <c r="Q136" i="3" s="1"/>
  <c r="Q150" i="3" s="1"/>
  <c r="P33" i="3"/>
  <c r="O33" i="3"/>
  <c r="N33" i="3"/>
  <c r="M33" i="3"/>
  <c r="L33" i="3"/>
  <c r="L136" i="3" s="1"/>
  <c r="J33" i="3"/>
  <c r="I33" i="3"/>
  <c r="H33" i="3"/>
  <c r="G33" i="3"/>
  <c r="F33" i="3"/>
  <c r="E33" i="3"/>
  <c r="AB27" i="3"/>
  <c r="AB21" i="3"/>
  <c r="AB20" i="3"/>
  <c r="AG19" i="3"/>
  <c r="AG33" i="3" s="1"/>
  <c r="AG17" i="3"/>
  <c r="AG16" i="3"/>
  <c r="AB16" i="3"/>
  <c r="AB9" i="3"/>
  <c r="AB33" i="3" s="1"/>
  <c r="AG4" i="3"/>
  <c r="AG5" i="3" s="1"/>
  <c r="AF4" i="3"/>
  <c r="AF5" i="3" s="1"/>
  <c r="AF135" i="3" s="1"/>
  <c r="AE4" i="3"/>
  <c r="AE5" i="3" s="1"/>
  <c r="AD4" i="3"/>
  <c r="AD5" i="3" s="1"/>
  <c r="AC4" i="3"/>
  <c r="AC5" i="3" s="1"/>
  <c r="AC115" i="3" s="1"/>
  <c r="AB4" i="3"/>
  <c r="AB5" i="3" s="1"/>
  <c r="AB83" i="3" s="1"/>
  <c r="E138" i="3"/>
  <c r="AG148" i="2"/>
  <c r="AF148" i="2"/>
  <c r="AE148" i="2"/>
  <c r="AD148" i="2"/>
  <c r="AC148" i="2"/>
  <c r="AB148" i="2"/>
  <c r="Z148" i="2"/>
  <c r="Z149" i="2"/>
  <c r="Y148" i="2"/>
  <c r="Y149" i="2" s="1"/>
  <c r="X148" i="2"/>
  <c r="W148" i="2"/>
  <c r="V148" i="2"/>
  <c r="U148" i="2"/>
  <c r="T148" i="2"/>
  <c r="S148" i="2"/>
  <c r="R148" i="2"/>
  <c r="Q148" i="2"/>
  <c r="P148" i="2"/>
  <c r="O148" i="2"/>
  <c r="N148" i="2"/>
  <c r="M148" i="2"/>
  <c r="L148" i="2"/>
  <c r="K148" i="2"/>
  <c r="J148" i="2"/>
  <c r="I148" i="2"/>
  <c r="H148" i="2"/>
  <c r="G148" i="2"/>
  <c r="F148" i="2"/>
  <c r="E148" i="2"/>
  <c r="AF134" i="2"/>
  <c r="AE134" i="2"/>
  <c r="AD134" i="2"/>
  <c r="Z134" i="2"/>
  <c r="Y134" i="2"/>
  <c r="X134" i="2"/>
  <c r="W134" i="2"/>
  <c r="V134" i="2"/>
  <c r="U134" i="2"/>
  <c r="T134" i="2"/>
  <c r="S134" i="2"/>
  <c r="R134" i="2"/>
  <c r="Q134" i="2"/>
  <c r="P134" i="2"/>
  <c r="O134" i="2"/>
  <c r="N134" i="2"/>
  <c r="M134" i="2"/>
  <c r="L134" i="2"/>
  <c r="J134" i="2"/>
  <c r="I134" i="2"/>
  <c r="H134" i="2"/>
  <c r="G134" i="2"/>
  <c r="F134" i="2"/>
  <c r="E134" i="2"/>
  <c r="AG127" i="2"/>
  <c r="AG134" i="2"/>
  <c r="AC127" i="2"/>
  <c r="AC134" i="2" s="1"/>
  <c r="AB127" i="2"/>
  <c r="AB134" i="2" s="1"/>
  <c r="AA125" i="2"/>
  <c r="AA124" i="2"/>
  <c r="AG123" i="2"/>
  <c r="AF123" i="2"/>
  <c r="AE123" i="2"/>
  <c r="AD123" i="2"/>
  <c r="AC123" i="2"/>
  <c r="AB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J123" i="2"/>
  <c r="I123" i="2"/>
  <c r="H123" i="2"/>
  <c r="G123" i="2"/>
  <c r="F123" i="2"/>
  <c r="AA123" i="2" s="1"/>
  <c r="E123" i="2"/>
  <c r="AA114" i="2"/>
  <c r="AA113" i="2"/>
  <c r="AG112" i="2"/>
  <c r="AF112" i="2"/>
  <c r="AE112" i="2"/>
  <c r="AD112" i="2"/>
  <c r="AC112" i="2"/>
  <c r="AB112" i="2"/>
  <c r="Z112" i="2"/>
  <c r="Y112" i="2"/>
  <c r="X112" i="2"/>
  <c r="W112" i="2"/>
  <c r="V112" i="2"/>
  <c r="U112" i="2"/>
  <c r="T112" i="2"/>
  <c r="S112" i="2"/>
  <c r="R112" i="2"/>
  <c r="Q112" i="2"/>
  <c r="P112" i="2"/>
  <c r="O112" i="2"/>
  <c r="N112" i="2"/>
  <c r="M112" i="2"/>
  <c r="L112" i="2"/>
  <c r="L136" i="2" s="1"/>
  <c r="L150" i="2" s="1"/>
  <c r="J112" i="2"/>
  <c r="I112" i="2"/>
  <c r="H112" i="2"/>
  <c r="G112" i="2"/>
  <c r="F112" i="2"/>
  <c r="E112" i="2"/>
  <c r="AA98" i="2"/>
  <c r="AA97" i="2"/>
  <c r="AG96" i="2"/>
  <c r="AF96" i="2"/>
  <c r="AE96" i="2"/>
  <c r="AD96" i="2"/>
  <c r="AC96" i="2"/>
  <c r="AB96" i="2"/>
  <c r="Z96" i="2"/>
  <c r="Y96" i="2"/>
  <c r="X96" i="2"/>
  <c r="W96" i="2"/>
  <c r="V96" i="2"/>
  <c r="U96" i="2"/>
  <c r="T96" i="2"/>
  <c r="S96" i="2"/>
  <c r="R96" i="2"/>
  <c r="Q96" i="2"/>
  <c r="P96" i="2"/>
  <c r="O96" i="2"/>
  <c r="N96" i="2"/>
  <c r="M96" i="2"/>
  <c r="L96" i="2"/>
  <c r="J96" i="2"/>
  <c r="I96" i="2"/>
  <c r="H96" i="2"/>
  <c r="G96" i="2"/>
  <c r="F96" i="2"/>
  <c r="E96" i="2"/>
  <c r="AA82" i="2"/>
  <c r="AA81" i="2"/>
  <c r="AG80" i="2"/>
  <c r="AF80" i="2"/>
  <c r="AE80" i="2"/>
  <c r="AC80" i="2"/>
  <c r="AB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J80" i="2"/>
  <c r="I80" i="2"/>
  <c r="H80" i="2"/>
  <c r="G80" i="2"/>
  <c r="F80" i="2"/>
  <c r="E80" i="2"/>
  <c r="AD75" i="2"/>
  <c r="AD80" i="2" s="1"/>
  <c r="AA72" i="2"/>
  <c r="AA71" i="2"/>
  <c r="Z70" i="2"/>
  <c r="Y70" i="2"/>
  <c r="X70" i="2"/>
  <c r="W70" i="2"/>
  <c r="V70" i="2"/>
  <c r="U70" i="2"/>
  <c r="U136" i="2" s="1"/>
  <c r="U150" i="2" s="1"/>
  <c r="T70" i="2"/>
  <c r="S70" i="2"/>
  <c r="R70" i="2"/>
  <c r="Q70" i="2"/>
  <c r="Q136" i="2" s="1"/>
  <c r="Q150" i="2" s="1"/>
  <c r="P70" i="2"/>
  <c r="O70" i="2"/>
  <c r="N70" i="2"/>
  <c r="M70" i="2"/>
  <c r="M136" i="2" s="1"/>
  <c r="M150" i="2" s="1"/>
  <c r="L70" i="2"/>
  <c r="J70" i="2"/>
  <c r="I70" i="2"/>
  <c r="H70" i="2"/>
  <c r="H136" i="2" s="1"/>
  <c r="H150" i="2" s="1"/>
  <c r="G70" i="2"/>
  <c r="F70" i="2"/>
  <c r="E70" i="2"/>
  <c r="AG61" i="2"/>
  <c r="AG70" i="2" s="1"/>
  <c r="AF61" i="2"/>
  <c r="AF70" i="2"/>
  <c r="AE61" i="2"/>
  <c r="AE70" i="2" s="1"/>
  <c r="AD61" i="2"/>
  <c r="AD70" i="2" s="1"/>
  <c r="AC61" i="2"/>
  <c r="AC70" i="2" s="1"/>
  <c r="AB61" i="2"/>
  <c r="AB58" i="2"/>
  <c r="AA50" i="2"/>
  <c r="AA49" i="2"/>
  <c r="AF48" i="2"/>
  <c r="AE48" i="2"/>
  <c r="AD48" i="2"/>
  <c r="AD136" i="2" s="1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K136" i="2" s="1"/>
  <c r="K150" i="2" s="1"/>
  <c r="J48" i="2"/>
  <c r="I48" i="2"/>
  <c r="H48" i="2"/>
  <c r="G48" i="2"/>
  <c r="G136" i="2" s="1"/>
  <c r="G150" i="2" s="1"/>
  <c r="F48" i="2"/>
  <c r="E48" i="2"/>
  <c r="AB47" i="2"/>
  <c r="AB44" i="2"/>
  <c r="AB48" i="2" s="1"/>
  <c r="AG43" i="2"/>
  <c r="AG48" i="2" s="1"/>
  <c r="AC43" i="2"/>
  <c r="AC48" i="2"/>
  <c r="AB43" i="2"/>
  <c r="AA35" i="2"/>
  <c r="AA34" i="2"/>
  <c r="AF33" i="2"/>
  <c r="AE33" i="2"/>
  <c r="AD33" i="2"/>
  <c r="AC33" i="2"/>
  <c r="Z33" i="2"/>
  <c r="Y33" i="2"/>
  <c r="X33" i="2"/>
  <c r="W33" i="2"/>
  <c r="V33" i="2"/>
  <c r="U33" i="2"/>
  <c r="T33" i="2"/>
  <c r="S33" i="2"/>
  <c r="R33" i="2"/>
  <c r="Q33" i="2"/>
  <c r="P33" i="2"/>
  <c r="O33" i="2"/>
  <c r="O136" i="2" s="1"/>
  <c r="O150" i="2" s="1"/>
  <c r="N33" i="2"/>
  <c r="M33" i="2"/>
  <c r="L33" i="2"/>
  <c r="J33" i="2"/>
  <c r="I33" i="2"/>
  <c r="H33" i="2"/>
  <c r="G33" i="2"/>
  <c r="F33" i="2"/>
  <c r="E33" i="2"/>
  <c r="AA33" i="2" s="1"/>
  <c r="AB27" i="2"/>
  <c r="AB21" i="2"/>
  <c r="AB20" i="2"/>
  <c r="AG19" i="2"/>
  <c r="AG17" i="2"/>
  <c r="AG16" i="2"/>
  <c r="AB16" i="2"/>
  <c r="AB9" i="2"/>
  <c r="AG4" i="2"/>
  <c r="AG5" i="2" s="1"/>
  <c r="AC4" i="2"/>
  <c r="AC5" i="2" s="1"/>
  <c r="AB4" i="2"/>
  <c r="AB5" i="2" s="1"/>
  <c r="AG148" i="1"/>
  <c r="AF148" i="1"/>
  <c r="AE148" i="1"/>
  <c r="AD148" i="1"/>
  <c r="AC148" i="1"/>
  <c r="AB148" i="1"/>
  <c r="Z148" i="1"/>
  <c r="Z149" i="1" s="1"/>
  <c r="Y148" i="1"/>
  <c r="Y149" i="1" s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U136" i="1"/>
  <c r="AF134" i="1"/>
  <c r="AE134" i="1"/>
  <c r="AD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J134" i="1"/>
  <c r="I134" i="1"/>
  <c r="H134" i="1"/>
  <c r="G134" i="1"/>
  <c r="F134" i="1"/>
  <c r="E134" i="1"/>
  <c r="AG127" i="1"/>
  <c r="AG134" i="1" s="1"/>
  <c r="AC127" i="1"/>
  <c r="AC134" i="1" s="1"/>
  <c r="AB127" i="1"/>
  <c r="AB134" i="1" s="1"/>
  <c r="AA125" i="1"/>
  <c r="AA124" i="1"/>
  <c r="AG123" i="1"/>
  <c r="AF123" i="1"/>
  <c r="AE123" i="1"/>
  <c r="AD123" i="1"/>
  <c r="AC123" i="1"/>
  <c r="AB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J123" i="1"/>
  <c r="I123" i="1"/>
  <c r="H123" i="1"/>
  <c r="G123" i="1"/>
  <c r="AA123" i="1" s="1"/>
  <c r="F123" i="1"/>
  <c r="E123" i="1"/>
  <c r="AA114" i="1"/>
  <c r="AA113" i="1"/>
  <c r="AG112" i="1"/>
  <c r="AF112" i="1"/>
  <c r="AE112" i="1"/>
  <c r="AD112" i="1"/>
  <c r="AC112" i="1"/>
  <c r="AB112" i="1"/>
  <c r="Z112" i="1"/>
  <c r="Z138" i="1" s="1"/>
  <c r="Y112" i="1"/>
  <c r="X112" i="1"/>
  <c r="W112" i="1"/>
  <c r="V112" i="1"/>
  <c r="V138" i="1" s="1"/>
  <c r="U112" i="1"/>
  <c r="T112" i="1"/>
  <c r="S112" i="1"/>
  <c r="R112" i="1"/>
  <c r="Q112" i="1"/>
  <c r="P112" i="1"/>
  <c r="O112" i="1"/>
  <c r="N112" i="1"/>
  <c r="M112" i="1"/>
  <c r="L112" i="1"/>
  <c r="J112" i="1"/>
  <c r="I112" i="1"/>
  <c r="H112" i="1"/>
  <c r="G112" i="1"/>
  <c r="F112" i="1"/>
  <c r="E112" i="1"/>
  <c r="AA98" i="1"/>
  <c r="AA97" i="1"/>
  <c r="AG96" i="1"/>
  <c r="AF96" i="1"/>
  <c r="AE96" i="1"/>
  <c r="AD96" i="1"/>
  <c r="AC96" i="1"/>
  <c r="AB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J96" i="1"/>
  <c r="I96" i="1"/>
  <c r="H96" i="1"/>
  <c r="G96" i="1"/>
  <c r="F96" i="1"/>
  <c r="E96" i="1"/>
  <c r="AA82" i="1"/>
  <c r="AA81" i="1"/>
  <c r="AG80" i="1"/>
  <c r="AF80" i="1"/>
  <c r="AE80" i="1"/>
  <c r="AC80" i="1"/>
  <c r="AB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J80" i="1"/>
  <c r="I80" i="1"/>
  <c r="H80" i="1"/>
  <c r="G80" i="1"/>
  <c r="AA80" i="1" s="1"/>
  <c r="F80" i="1"/>
  <c r="E80" i="1"/>
  <c r="AD75" i="1"/>
  <c r="AD80" i="1" s="1"/>
  <c r="AA72" i="1"/>
  <c r="AA71" i="1"/>
  <c r="AG70" i="1"/>
  <c r="AC70" i="1"/>
  <c r="Z70" i="1"/>
  <c r="Y70" i="1"/>
  <c r="X70" i="1"/>
  <c r="W70" i="1"/>
  <c r="V70" i="1"/>
  <c r="U70" i="1"/>
  <c r="T70" i="1"/>
  <c r="S70" i="1"/>
  <c r="R70" i="1"/>
  <c r="Q70" i="1"/>
  <c r="P70" i="1"/>
  <c r="P136" i="1" s="1"/>
  <c r="O70" i="1"/>
  <c r="N70" i="1"/>
  <c r="M70" i="1"/>
  <c r="L70" i="1"/>
  <c r="J70" i="1"/>
  <c r="I70" i="1"/>
  <c r="H70" i="1"/>
  <c r="G70" i="1"/>
  <c r="F70" i="1"/>
  <c r="E70" i="1"/>
  <c r="AG61" i="1"/>
  <c r="AF61" i="1"/>
  <c r="AF70" i="1" s="1"/>
  <c r="AE61" i="1"/>
  <c r="AE70" i="1" s="1"/>
  <c r="AD61" i="1"/>
  <c r="AD70" i="1" s="1"/>
  <c r="AC61" i="1"/>
  <c r="AB61" i="1"/>
  <c r="AB58" i="1"/>
  <c r="AA50" i="1"/>
  <c r="AA49" i="1"/>
  <c r="AF48" i="1"/>
  <c r="AE48" i="1"/>
  <c r="AD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AB47" i="1"/>
  <c r="AB44" i="1"/>
  <c r="AG43" i="1"/>
  <c r="AG48" i="1" s="1"/>
  <c r="AC43" i="1"/>
  <c r="AC48" i="1" s="1"/>
  <c r="AB43" i="1"/>
  <c r="AB48" i="1" s="1"/>
  <c r="AA35" i="1"/>
  <c r="AA34" i="1"/>
  <c r="AF33" i="1"/>
  <c r="AE33" i="1"/>
  <c r="AD33" i="1"/>
  <c r="AC33" i="1"/>
  <c r="Z33" i="1"/>
  <c r="Z136" i="1" s="1"/>
  <c r="Z137" i="1" s="1"/>
  <c r="Y33" i="1"/>
  <c r="Y136" i="1" s="1"/>
  <c r="X33" i="1"/>
  <c r="W33" i="1"/>
  <c r="V33" i="1"/>
  <c r="V136" i="1" s="1"/>
  <c r="V150" i="1" s="1"/>
  <c r="U33" i="1"/>
  <c r="T33" i="1"/>
  <c r="S33" i="1"/>
  <c r="R33" i="1"/>
  <c r="Q33" i="1"/>
  <c r="P33" i="1"/>
  <c r="O33" i="1"/>
  <c r="N33" i="1"/>
  <c r="M33" i="1"/>
  <c r="L33" i="1"/>
  <c r="J33" i="1"/>
  <c r="I33" i="1"/>
  <c r="I136" i="1" s="1"/>
  <c r="I150" i="1" s="1"/>
  <c r="H33" i="1"/>
  <c r="H136" i="1" s="1"/>
  <c r="G33" i="1"/>
  <c r="G136" i="1" s="1"/>
  <c r="F33" i="1"/>
  <c r="F136" i="1" s="1"/>
  <c r="E33" i="1"/>
  <c r="E136" i="1" s="1"/>
  <c r="AB27" i="1"/>
  <c r="AB21" i="1"/>
  <c r="AB20" i="1"/>
  <c r="AB33" i="1" s="1"/>
  <c r="AG19" i="1"/>
  <c r="AG17" i="1"/>
  <c r="AG16" i="1"/>
  <c r="AG33" i="1"/>
  <c r="AB16" i="1"/>
  <c r="AB9" i="1"/>
  <c r="AG4" i="1"/>
  <c r="AG5" i="1" s="1"/>
  <c r="AG115" i="1" s="1"/>
  <c r="AF4" i="1"/>
  <c r="AF5" i="1" s="1"/>
  <c r="AF36" i="1" s="1"/>
  <c r="AE4" i="1"/>
  <c r="AE5" i="1" s="1"/>
  <c r="AD4" i="1"/>
  <c r="AD5" i="1" s="1"/>
  <c r="AD83" i="1" s="1"/>
  <c r="AC4" i="1"/>
  <c r="AC5" i="1"/>
  <c r="AC149" i="1" s="1"/>
  <c r="U138" i="1"/>
  <c r="Q138" i="1"/>
  <c r="AG83" i="4"/>
  <c r="AF115" i="3"/>
  <c r="AG99" i="1"/>
  <c r="P51" i="3"/>
  <c r="K138" i="3"/>
  <c r="T73" i="1"/>
  <c r="E136" i="3"/>
  <c r="G138" i="1"/>
  <c r="Y136" i="3"/>
  <c r="Y137" i="3"/>
  <c r="Y138" i="3"/>
  <c r="AF150" i="4"/>
  <c r="AF137" i="4"/>
  <c r="AA33" i="1"/>
  <c r="AA112" i="1"/>
  <c r="G150" i="1"/>
  <c r="M136" i="1"/>
  <c r="AE136" i="3"/>
  <c r="AA48" i="1"/>
  <c r="I138" i="3"/>
  <c r="T136" i="3"/>
  <c r="T150" i="3" s="1"/>
  <c r="AA148" i="1"/>
  <c r="AF135" i="1"/>
  <c r="V149" i="1"/>
  <c r="Y137" i="1"/>
  <c r="U136" i="3"/>
  <c r="H138" i="3"/>
  <c r="U36" i="1"/>
  <c r="H138" i="4"/>
  <c r="O136" i="1"/>
  <c r="Y73" i="3"/>
  <c r="V73" i="1"/>
  <c r="AA134" i="1"/>
  <c r="V135" i="1"/>
  <c r="F149" i="3"/>
  <c r="T135" i="1"/>
  <c r="P138" i="1"/>
  <c r="V137" i="1"/>
  <c r="V115" i="1"/>
  <c r="U135" i="1"/>
  <c r="Q73" i="1"/>
  <c r="AD136" i="1"/>
  <c r="AD150" i="1" s="1"/>
  <c r="AG149" i="1"/>
  <c r="AA48" i="3"/>
  <c r="AF138" i="1"/>
  <c r="AA96" i="1"/>
  <c r="AA70" i="1"/>
  <c r="O150" i="4"/>
  <c r="K136" i="1"/>
  <c r="K137" i="1" s="1"/>
  <c r="Q136" i="1"/>
  <c r="R136" i="1"/>
  <c r="G138" i="3"/>
  <c r="F115" i="3"/>
  <c r="AC83" i="4"/>
  <c r="F83" i="3"/>
  <c r="AF149" i="1"/>
  <c r="AF51" i="3"/>
  <c r="Y83" i="3"/>
  <c r="AA134" i="3"/>
  <c r="I136" i="3"/>
  <c r="I150" i="3" s="1"/>
  <c r="AA148" i="3"/>
  <c r="M136" i="3"/>
  <c r="M150" i="3" s="1"/>
  <c r="AD136" i="3"/>
  <c r="AD137" i="3" s="1"/>
  <c r="L115" i="4"/>
  <c r="AA134" i="4"/>
  <c r="R136" i="4"/>
  <c r="S136" i="4"/>
  <c r="U136" i="4"/>
  <c r="S138" i="4"/>
  <c r="M51" i="4"/>
  <c r="V136" i="4"/>
  <c r="V137" i="4" s="1"/>
  <c r="W136" i="4"/>
  <c r="U126" i="4"/>
  <c r="F138" i="4"/>
  <c r="AE115" i="4"/>
  <c r="T83" i="3"/>
  <c r="P99" i="3"/>
  <c r="P135" i="3"/>
  <c r="G115" i="3"/>
  <c r="P149" i="3"/>
  <c r="Y138" i="1"/>
  <c r="P36" i="1"/>
  <c r="X149" i="1"/>
  <c r="U83" i="1"/>
  <c r="U99" i="1"/>
  <c r="P135" i="4"/>
  <c r="S83" i="4"/>
  <c r="K149" i="3"/>
  <c r="W138" i="3"/>
  <c r="U73" i="3"/>
  <c r="H126" i="3"/>
  <c r="U51" i="3"/>
  <c r="P126" i="3"/>
  <c r="P73" i="3"/>
  <c r="P36" i="3"/>
  <c r="P115" i="3"/>
  <c r="O138" i="4"/>
  <c r="X83" i="4"/>
  <c r="G83" i="3"/>
  <c r="Y83" i="1"/>
  <c r="Y115" i="1"/>
  <c r="Y99" i="1"/>
  <c r="Y73" i="1"/>
  <c r="Y126" i="1"/>
  <c r="M126" i="4"/>
  <c r="J138" i="3"/>
  <c r="H36" i="4"/>
  <c r="H149" i="4"/>
  <c r="R36" i="1"/>
  <c r="R149" i="1"/>
  <c r="R83" i="1"/>
  <c r="R51" i="1"/>
  <c r="O149" i="1"/>
  <c r="O51" i="1"/>
  <c r="Z99" i="3"/>
  <c r="Z126" i="3"/>
  <c r="K149" i="1"/>
  <c r="O135" i="1"/>
  <c r="X137" i="3"/>
  <c r="Z135" i="3"/>
  <c r="Z150" i="3" s="1"/>
  <c r="T51" i="3"/>
  <c r="R137" i="1"/>
  <c r="R150" i="1"/>
  <c r="S150" i="4"/>
  <c r="S137" i="4"/>
  <c r="S139" i="4"/>
  <c r="S151" i="4" s="1"/>
  <c r="O150" i="1"/>
  <c r="N99" i="3"/>
  <c r="V150" i="3"/>
  <c r="M150" i="1"/>
  <c r="I137" i="1"/>
  <c r="O73" i="1"/>
  <c r="O115" i="1"/>
  <c r="U115" i="3"/>
  <c r="I138" i="4"/>
  <c r="Q150" i="1"/>
  <c r="Q137" i="1"/>
  <c r="P150" i="1"/>
  <c r="V73" i="3"/>
  <c r="X126" i="1"/>
  <c r="X135" i="1"/>
  <c r="X99" i="1"/>
  <c r="O83" i="1"/>
  <c r="U137" i="3"/>
  <c r="U150" i="3"/>
  <c r="V51" i="1"/>
  <c r="V36" i="1"/>
  <c r="V126" i="1"/>
  <c r="V83" i="1"/>
  <c r="V99" i="1"/>
  <c r="L51" i="4"/>
  <c r="U149" i="3"/>
  <c r="S99" i="3"/>
  <c r="U36" i="3"/>
  <c r="AE137" i="3"/>
  <c r="AE150" i="3"/>
  <c r="U138" i="3"/>
  <c r="W150" i="4"/>
  <c r="F150" i="4"/>
  <c r="T36" i="3"/>
  <c r="T73" i="3"/>
  <c r="I137" i="3"/>
  <c r="AF150" i="3"/>
  <c r="Z51" i="3"/>
  <c r="K150" i="1"/>
  <c r="AD137" i="1"/>
  <c r="P115" i="1"/>
  <c r="V83" i="3"/>
  <c r="O126" i="1"/>
  <c r="X138" i="3"/>
  <c r="X139" i="3" s="1"/>
  <c r="P73" i="4"/>
  <c r="P149" i="4"/>
  <c r="H99" i="4"/>
  <c r="H51" i="4"/>
  <c r="H115" i="4"/>
  <c r="P36" i="4"/>
  <c r="P115" i="4"/>
  <c r="S115" i="4"/>
  <c r="S36" i="4"/>
  <c r="L51" i="3"/>
  <c r="L83" i="3"/>
  <c r="L36" i="3"/>
  <c r="W51" i="3"/>
  <c r="X135" i="3"/>
  <c r="L149" i="3"/>
  <c r="L135" i="3"/>
  <c r="S73" i="1"/>
  <c r="S115" i="1"/>
  <c r="P149" i="1"/>
  <c r="S126" i="1"/>
  <c r="S149" i="1"/>
  <c r="S99" i="1"/>
  <c r="S135" i="1"/>
  <c r="S83" i="1"/>
  <c r="S149" i="4"/>
  <c r="S51" i="4"/>
  <c r="S73" i="4"/>
  <c r="S135" i="4"/>
  <c r="S99" i="4"/>
  <c r="G73" i="4"/>
  <c r="H99" i="3"/>
  <c r="H73" i="3"/>
  <c r="H149" i="3"/>
  <c r="H83" i="3"/>
  <c r="H135" i="3"/>
  <c r="H115" i="3"/>
  <c r="H36" i="3"/>
  <c r="Z126" i="1"/>
  <c r="Z135" i="1"/>
  <c r="Z150" i="1" s="1"/>
  <c r="Z99" i="1"/>
  <c r="Z73" i="1"/>
  <c r="Z115" i="1"/>
  <c r="Z83" i="1"/>
  <c r="Z36" i="1"/>
  <c r="Z51" i="1"/>
  <c r="Y126" i="4"/>
  <c r="Y99" i="4"/>
  <c r="T115" i="4"/>
  <c r="T51" i="4"/>
  <c r="T126" i="4"/>
  <c r="T36" i="4"/>
  <c r="T135" i="4"/>
  <c r="T73" i="4"/>
  <c r="T149" i="4"/>
  <c r="T83" i="4"/>
  <c r="E73" i="4"/>
  <c r="E51" i="4"/>
  <c r="E126" i="4"/>
  <c r="E36" i="4"/>
  <c r="E83" i="4"/>
  <c r="E99" i="4"/>
  <c r="E135" i="4"/>
  <c r="E149" i="4"/>
  <c r="X36" i="4"/>
  <c r="I126" i="3"/>
  <c r="I36" i="3"/>
  <c r="I73" i="3"/>
  <c r="I99" i="3"/>
  <c r="I135" i="3"/>
  <c r="I51" i="3"/>
  <c r="I115" i="3"/>
  <c r="I149" i="3"/>
  <c r="I83" i="3"/>
  <c r="U149" i="4"/>
  <c r="U135" i="4"/>
  <c r="N83" i="3"/>
  <c r="N115" i="3"/>
  <c r="N73" i="3"/>
  <c r="N51" i="3"/>
  <c r="S51" i="3"/>
  <c r="S73" i="3"/>
  <c r="S36" i="3"/>
  <c r="S126" i="3"/>
  <c r="O99" i="4"/>
  <c r="O149" i="4"/>
  <c r="O115" i="4"/>
  <c r="O51" i="4"/>
  <c r="O126" i="4"/>
  <c r="O36" i="4"/>
  <c r="O73" i="4"/>
  <c r="O135" i="4"/>
  <c r="O83" i="4"/>
  <c r="J115" i="3"/>
  <c r="J126" i="3"/>
  <c r="J73" i="3"/>
  <c r="J99" i="3"/>
  <c r="J135" i="3"/>
  <c r="J36" i="3"/>
  <c r="J51" i="3"/>
  <c r="J83" i="3"/>
  <c r="J149" i="3"/>
  <c r="X36" i="3"/>
  <c r="X149" i="3"/>
  <c r="X83" i="3"/>
  <c r="X115" i="3"/>
  <c r="W83" i="3"/>
  <c r="W99" i="3"/>
  <c r="W149" i="3"/>
  <c r="W135" i="3"/>
  <c r="W126" i="3"/>
  <c r="W36" i="3"/>
  <c r="X73" i="3"/>
  <c r="W73" i="3"/>
  <c r="W115" i="3"/>
  <c r="G135" i="4"/>
  <c r="Z83" i="4"/>
  <c r="Z51" i="4"/>
  <c r="O135" i="3"/>
  <c r="O115" i="3"/>
  <c r="O83" i="3"/>
  <c r="O51" i="3"/>
  <c r="O149" i="3"/>
  <c r="O126" i="3"/>
  <c r="O73" i="3"/>
  <c r="O36" i="3"/>
  <c r="O99" i="3"/>
  <c r="V73" i="4"/>
  <c r="V126" i="4"/>
  <c r="V36" i="4"/>
  <c r="V83" i="4"/>
  <c r="V99" i="4"/>
  <c r="V149" i="4"/>
  <c r="V51" i="4"/>
  <c r="V135" i="4"/>
  <c r="N149" i="4"/>
  <c r="N51" i="4"/>
  <c r="N83" i="4"/>
  <c r="N135" i="4"/>
  <c r="N99" i="4"/>
  <c r="N126" i="4"/>
  <c r="N36" i="4"/>
  <c r="N115" i="4"/>
  <c r="N73" i="4"/>
  <c r="AD51" i="1" l="1"/>
  <c r="AC51" i="4"/>
  <c r="AC36" i="4"/>
  <c r="AC135" i="4"/>
  <c r="AC115" i="4"/>
  <c r="AB99" i="3"/>
  <c r="AF51" i="4"/>
  <c r="AF115" i="4"/>
  <c r="AF99" i="4"/>
  <c r="AF36" i="4"/>
  <c r="AF135" i="4"/>
  <c r="AF83" i="4"/>
  <c r="AF138" i="4"/>
  <c r="AF73" i="4"/>
  <c r="AF149" i="4"/>
  <c r="AC149" i="4"/>
  <c r="AD115" i="3"/>
  <c r="AD36" i="3"/>
  <c r="AD99" i="3"/>
  <c r="AD135" i="3"/>
  <c r="AD149" i="3"/>
  <c r="AD51" i="3"/>
  <c r="AB115" i="3"/>
  <c r="AE83" i="3"/>
  <c r="AE73" i="3"/>
  <c r="AE99" i="3"/>
  <c r="AE51" i="3"/>
  <c r="AE135" i="3"/>
  <c r="AE115" i="3"/>
  <c r="AE36" i="3"/>
  <c r="AE149" i="3"/>
  <c r="AG51" i="3"/>
  <c r="AD83" i="3"/>
  <c r="AC83" i="3"/>
  <c r="AG99" i="3"/>
  <c r="AE138" i="3"/>
  <c r="AE139" i="3" s="1"/>
  <c r="AE151" i="3" s="1"/>
  <c r="AB73" i="3"/>
  <c r="AG73" i="2"/>
  <c r="AB51" i="2"/>
  <c r="AG83" i="1"/>
  <c r="AE83" i="1"/>
  <c r="AE51" i="1"/>
  <c r="AE135" i="1"/>
  <c r="AE149" i="1"/>
  <c r="AE99" i="1"/>
  <c r="AE115" i="1"/>
  <c r="AE36" i="1"/>
  <c r="AC83" i="1"/>
  <c r="AC115" i="1"/>
  <c r="AC99" i="1"/>
  <c r="AC36" i="1"/>
  <c r="AC135" i="1"/>
  <c r="I137" i="4"/>
  <c r="I139" i="4" s="1"/>
  <c r="I150" i="4"/>
  <c r="AE150" i="4"/>
  <c r="AE137" i="4"/>
  <c r="M137" i="4"/>
  <c r="M150" i="4"/>
  <c r="R99" i="4"/>
  <c r="R126" i="4"/>
  <c r="R83" i="4"/>
  <c r="R149" i="4"/>
  <c r="R135" i="4"/>
  <c r="R150" i="4"/>
  <c r="R137" i="4"/>
  <c r="J126" i="4"/>
  <c r="J73" i="4"/>
  <c r="J135" i="4"/>
  <c r="J115" i="4"/>
  <c r="J36" i="4"/>
  <c r="J149" i="4"/>
  <c r="J99" i="4"/>
  <c r="J83" i="4"/>
  <c r="AD149" i="4"/>
  <c r="AD99" i="4"/>
  <c r="AD36" i="4"/>
  <c r="AD51" i="4"/>
  <c r="AD135" i="4"/>
  <c r="AA96" i="4"/>
  <c r="G99" i="4"/>
  <c r="L99" i="4"/>
  <c r="L138" i="4"/>
  <c r="P138" i="4"/>
  <c r="P99" i="4"/>
  <c r="T138" i="4"/>
  <c r="T99" i="4"/>
  <c r="T136" i="4"/>
  <c r="X138" i="4"/>
  <c r="X99" i="4"/>
  <c r="X136" i="4"/>
  <c r="R36" i="4"/>
  <c r="V150" i="4"/>
  <c r="Y36" i="4"/>
  <c r="Y135" i="4"/>
  <c r="Y150" i="4" s="1"/>
  <c r="Y115" i="4"/>
  <c r="Y73" i="4"/>
  <c r="Y51" i="4"/>
  <c r="G138" i="4"/>
  <c r="U150" i="4"/>
  <c r="U137" i="4"/>
  <c r="AB83" i="4"/>
  <c r="AB51" i="4"/>
  <c r="AB149" i="4"/>
  <c r="AB115" i="4"/>
  <c r="AG115" i="4"/>
  <c r="AG149" i="4"/>
  <c r="AG73" i="4"/>
  <c r="AG51" i="4"/>
  <c r="AE73" i="4"/>
  <c r="AE138" i="4"/>
  <c r="AD138" i="4"/>
  <c r="AD83" i="4"/>
  <c r="H136" i="4"/>
  <c r="H83" i="4"/>
  <c r="M138" i="4"/>
  <c r="M83" i="4"/>
  <c r="Q136" i="4"/>
  <c r="Q138" i="4"/>
  <c r="U83" i="4"/>
  <c r="Y83" i="4"/>
  <c r="AE83" i="4"/>
  <c r="AC99" i="4"/>
  <c r="AC136" i="4"/>
  <c r="R51" i="4"/>
  <c r="Z99" i="4"/>
  <c r="Z126" i="4"/>
  <c r="Z36" i="4"/>
  <c r="Z135" i="4"/>
  <c r="Z150" i="4" s="1"/>
  <c r="Z73" i="4"/>
  <c r="X126" i="4"/>
  <c r="X149" i="4"/>
  <c r="X73" i="4"/>
  <c r="X135" i="4"/>
  <c r="X115" i="4"/>
  <c r="K138" i="4"/>
  <c r="W137" i="4"/>
  <c r="U36" i="4"/>
  <c r="U115" i="4"/>
  <c r="U51" i="4"/>
  <c r="U99" i="4"/>
  <c r="U73" i="4"/>
  <c r="G136" i="4"/>
  <c r="M36" i="4"/>
  <c r="M99" i="4"/>
  <c r="M149" i="4"/>
  <c r="M135" i="4"/>
  <c r="M73" i="4"/>
  <c r="M115" i="4"/>
  <c r="L126" i="4"/>
  <c r="L83" i="4"/>
  <c r="L149" i="4"/>
  <c r="L73" i="4"/>
  <c r="L135" i="4"/>
  <c r="AC138" i="4"/>
  <c r="AE99" i="4"/>
  <c r="AE149" i="4"/>
  <c r="AE36" i="4"/>
  <c r="AE51" i="4"/>
  <c r="AA33" i="4"/>
  <c r="E136" i="4"/>
  <c r="K150" i="4"/>
  <c r="K137" i="4"/>
  <c r="R73" i="4"/>
  <c r="G51" i="4"/>
  <c r="G149" i="4"/>
  <c r="G83" i="4"/>
  <c r="G126" i="4"/>
  <c r="G36" i="4"/>
  <c r="G115" i="4"/>
  <c r="J51" i="4"/>
  <c r="AA112" i="4"/>
  <c r="E115" i="4"/>
  <c r="R138" i="4"/>
  <c r="R115" i="4"/>
  <c r="V138" i="4"/>
  <c r="V139" i="4" s="1"/>
  <c r="V151" i="4" s="1"/>
  <c r="V115" i="4"/>
  <c r="Z115" i="4"/>
  <c r="Z138" i="4"/>
  <c r="Z139" i="4" s="1"/>
  <c r="Z151" i="4" s="1"/>
  <c r="H126" i="4"/>
  <c r="AA123" i="4"/>
  <c r="AG135" i="4"/>
  <c r="AE135" i="4"/>
  <c r="AA148" i="4"/>
  <c r="S126" i="4"/>
  <c r="AF139" i="4"/>
  <c r="AB36" i="4"/>
  <c r="F137" i="4"/>
  <c r="F139" i="4" s="1"/>
  <c r="P136" i="4"/>
  <c r="AA80" i="4"/>
  <c r="H135" i="4"/>
  <c r="F149" i="4"/>
  <c r="I115" i="4"/>
  <c r="AG33" i="4"/>
  <c r="N136" i="4"/>
  <c r="P51" i="4"/>
  <c r="X51" i="4"/>
  <c r="L136" i="4"/>
  <c r="L36" i="4"/>
  <c r="O137" i="4"/>
  <c r="O139" i="4" s="1"/>
  <c r="O151" i="4" s="1"/>
  <c r="AD136" i="4"/>
  <c r="AB70" i="4"/>
  <c r="AD73" i="4"/>
  <c r="H73" i="4"/>
  <c r="U138" i="4"/>
  <c r="Y136" i="4"/>
  <c r="Y137" i="4" s="1"/>
  <c r="Y138" i="4"/>
  <c r="P83" i="4"/>
  <c r="J136" i="4"/>
  <c r="J138" i="4"/>
  <c r="AB99" i="4"/>
  <c r="AD115" i="4"/>
  <c r="P126" i="4"/>
  <c r="X151" i="3"/>
  <c r="U139" i="3"/>
  <c r="U151" i="3" s="1"/>
  <c r="Y139" i="3"/>
  <c r="Y151" i="3" s="1"/>
  <c r="AG36" i="3"/>
  <c r="AG138" i="3"/>
  <c r="AG136" i="3"/>
  <c r="G150" i="3"/>
  <c r="G137" i="3"/>
  <c r="G139" i="3" s="1"/>
  <c r="X126" i="3"/>
  <c r="S83" i="3"/>
  <c r="S135" i="3"/>
  <c r="N126" i="3"/>
  <c r="N149" i="3"/>
  <c r="N36" i="3"/>
  <c r="I139" i="3"/>
  <c r="I151" i="3" s="1"/>
  <c r="AD150" i="3"/>
  <c r="K137" i="3"/>
  <c r="K139" i="3" s="1"/>
  <c r="K151" i="3" s="1"/>
  <c r="AA80" i="3"/>
  <c r="Z115" i="3"/>
  <c r="Z83" i="3"/>
  <c r="Z36" i="3"/>
  <c r="AC138" i="3"/>
  <c r="F51" i="3"/>
  <c r="F126" i="3"/>
  <c r="F135" i="3"/>
  <c r="F36" i="3"/>
  <c r="AG83" i="3"/>
  <c r="AG115" i="3"/>
  <c r="AG149" i="3"/>
  <c r="AG135" i="3"/>
  <c r="AA33" i="3"/>
  <c r="J136" i="3"/>
  <c r="O136" i="3"/>
  <c r="O138" i="3"/>
  <c r="S136" i="3"/>
  <c r="S138" i="3"/>
  <c r="AC136" i="3"/>
  <c r="AC51" i="3"/>
  <c r="AD138" i="3"/>
  <c r="AD139" i="3" s="1"/>
  <c r="AD151" i="3" s="1"/>
  <c r="AD73" i="3"/>
  <c r="AG73" i="3"/>
  <c r="AB135" i="3"/>
  <c r="R138" i="3"/>
  <c r="G36" i="3"/>
  <c r="G126" i="3"/>
  <c r="G135" i="3"/>
  <c r="G73" i="3"/>
  <c r="T135" i="3"/>
  <c r="T115" i="3"/>
  <c r="T149" i="3"/>
  <c r="T126" i="3"/>
  <c r="Q138" i="3"/>
  <c r="E150" i="3"/>
  <c r="E137" i="3"/>
  <c r="E139" i="3" s="1"/>
  <c r="Y135" i="3"/>
  <c r="Y150" i="3" s="1"/>
  <c r="Y36" i="3"/>
  <c r="Y51" i="3"/>
  <c r="Y99" i="3"/>
  <c r="Y115" i="3"/>
  <c r="Y126" i="3"/>
  <c r="AC73" i="3"/>
  <c r="AC149" i="3"/>
  <c r="L150" i="3"/>
  <c r="L137" i="3"/>
  <c r="L139" i="3" s="1"/>
  <c r="L151" i="3" s="1"/>
  <c r="P136" i="3"/>
  <c r="P83" i="3"/>
  <c r="AA96" i="3"/>
  <c r="G99" i="3"/>
  <c r="L99" i="3"/>
  <c r="T99" i="3"/>
  <c r="X99" i="3"/>
  <c r="AC99" i="3"/>
  <c r="V126" i="3"/>
  <c r="AC135" i="3"/>
  <c r="G51" i="3"/>
  <c r="V36" i="3"/>
  <c r="V149" i="3"/>
  <c r="V135" i="3"/>
  <c r="V99" i="3"/>
  <c r="V115" i="3"/>
  <c r="AB36" i="3"/>
  <c r="AB138" i="3"/>
  <c r="AB136" i="3"/>
  <c r="Q137" i="3"/>
  <c r="N138" i="3"/>
  <c r="R136" i="3"/>
  <c r="F138" i="3"/>
  <c r="AA70" i="3"/>
  <c r="Z73" i="3"/>
  <c r="X51" i="3"/>
  <c r="S149" i="3"/>
  <c r="S115" i="3"/>
  <c r="N135" i="3"/>
  <c r="M137" i="3"/>
  <c r="M139" i="3" s="1"/>
  <c r="V51" i="3"/>
  <c r="T137" i="3"/>
  <c r="T139" i="3" s="1"/>
  <c r="T151" i="3" s="1"/>
  <c r="G149" i="3"/>
  <c r="V138" i="3"/>
  <c r="V139" i="3" s="1"/>
  <c r="V151" i="3" s="1"/>
  <c r="L73" i="3"/>
  <c r="L126" i="3"/>
  <c r="L115" i="3"/>
  <c r="U135" i="3"/>
  <c r="U99" i="3"/>
  <c r="U126" i="3"/>
  <c r="U83" i="3"/>
  <c r="AC36" i="3"/>
  <c r="W137" i="3"/>
  <c r="W139" i="3" s="1"/>
  <c r="W151" i="3" s="1"/>
  <c r="F99" i="3"/>
  <c r="M138" i="3"/>
  <c r="AF138" i="3"/>
  <c r="AF139" i="3" s="1"/>
  <c r="AB149" i="3"/>
  <c r="AF149" i="3"/>
  <c r="AF99" i="3"/>
  <c r="AF36" i="3"/>
  <c r="AF83" i="3"/>
  <c r="F136" i="3"/>
  <c r="N136" i="3"/>
  <c r="Z136" i="3"/>
  <c r="Z137" i="3" s="1"/>
  <c r="Z139" i="3" s="1"/>
  <c r="Z151" i="3" s="1"/>
  <c r="AB51" i="3"/>
  <c r="H51" i="3"/>
  <c r="H136" i="3"/>
  <c r="AF73" i="3"/>
  <c r="AB33" i="2"/>
  <c r="AE73" i="2"/>
  <c r="T136" i="2"/>
  <c r="T150" i="2" s="1"/>
  <c r="AB70" i="2"/>
  <c r="AB73" i="2" s="1"/>
  <c r="AE135" i="2"/>
  <c r="E136" i="2"/>
  <c r="E150" i="2" s="1"/>
  <c r="N136" i="2"/>
  <c r="N150" i="2" s="1"/>
  <c r="R136" i="2"/>
  <c r="R150" i="2" s="1"/>
  <c r="AA148" i="2"/>
  <c r="AD4" i="2"/>
  <c r="AD5" i="2" s="1"/>
  <c r="AG33" i="2"/>
  <c r="P136" i="2"/>
  <c r="P150" i="2" s="1"/>
  <c r="W136" i="2"/>
  <c r="W150" i="2" s="1"/>
  <c r="AC136" i="2"/>
  <c r="AC150" i="2" s="1"/>
  <c r="V136" i="2"/>
  <c r="V150" i="2" s="1"/>
  <c r="Z136" i="2"/>
  <c r="S136" i="2"/>
  <c r="S150" i="2" s="1"/>
  <c r="AA48" i="2"/>
  <c r="AF136" i="2"/>
  <c r="AF150" i="2" s="1"/>
  <c r="AA96" i="2"/>
  <c r="J136" i="2"/>
  <c r="J150" i="2" s="1"/>
  <c r="AA112" i="2"/>
  <c r="I136" i="2"/>
  <c r="I150" i="2" s="1"/>
  <c r="AA134" i="2"/>
  <c r="Y136" i="2"/>
  <c r="AA80" i="2"/>
  <c r="X136" i="2"/>
  <c r="X150" i="2" s="1"/>
  <c r="AB36" i="2"/>
  <c r="AG136" i="2"/>
  <c r="AG138" i="2"/>
  <c r="AG36" i="2"/>
  <c r="AC137" i="2"/>
  <c r="AC139" i="2" s="1"/>
  <c r="AC135" i="2"/>
  <c r="AE149" i="2"/>
  <c r="AE83" i="2"/>
  <c r="AE51" i="2"/>
  <c r="AE99" i="2"/>
  <c r="AE115" i="2"/>
  <c r="AB83" i="2"/>
  <c r="AB149" i="2"/>
  <c r="AB115" i="2"/>
  <c r="AB135" i="2"/>
  <c r="AG115" i="2"/>
  <c r="AG99" i="2"/>
  <c r="AG149" i="2"/>
  <c r="AG51" i="2"/>
  <c r="AG83" i="2"/>
  <c r="AB99" i="2"/>
  <c r="AG135" i="2"/>
  <c r="AF5" i="2"/>
  <c r="AF138" i="2"/>
  <c r="AD137" i="2"/>
  <c r="AD150" i="2"/>
  <c r="AC149" i="2"/>
  <c r="AC99" i="2"/>
  <c r="AC51" i="2"/>
  <c r="AC115" i="2"/>
  <c r="AE138" i="2"/>
  <c r="AC73" i="2"/>
  <c r="AC83" i="2"/>
  <c r="AA70" i="2"/>
  <c r="AF51" i="2"/>
  <c r="AE136" i="2"/>
  <c r="F136" i="2"/>
  <c r="F150" i="2" s="1"/>
  <c r="AC36" i="2"/>
  <c r="AE36" i="2"/>
  <c r="AC138" i="2"/>
  <c r="V139" i="1"/>
  <c r="V151" i="1"/>
  <c r="Y139" i="1"/>
  <c r="Y151" i="1" s="1"/>
  <c r="Z139" i="1"/>
  <c r="Z151" i="1" s="1"/>
  <c r="Q36" i="1"/>
  <c r="Q51" i="1"/>
  <c r="Q139" i="1"/>
  <c r="P73" i="1"/>
  <c r="P51" i="1"/>
  <c r="P83" i="1"/>
  <c r="P126" i="1"/>
  <c r="P99" i="1"/>
  <c r="O99" i="1"/>
  <c r="N115" i="1"/>
  <c r="N135" i="1"/>
  <c r="N73" i="1"/>
  <c r="N51" i="1"/>
  <c r="N126" i="1"/>
  <c r="N99" i="1"/>
  <c r="N36" i="1"/>
  <c r="N149" i="1"/>
  <c r="N83" i="1"/>
  <c r="M138" i="1"/>
  <c r="M137" i="1"/>
  <c r="L149" i="1"/>
  <c r="L51" i="1"/>
  <c r="L36" i="1"/>
  <c r="L126" i="1"/>
  <c r="L115" i="1"/>
  <c r="L99" i="1"/>
  <c r="L135" i="1"/>
  <c r="L83" i="1"/>
  <c r="K138" i="1"/>
  <c r="K139" i="1" s="1"/>
  <c r="K151" i="1" s="1"/>
  <c r="I138" i="1"/>
  <c r="I139" i="1" s="1"/>
  <c r="G137" i="1"/>
  <c r="G139" i="1" s="1"/>
  <c r="F83" i="1"/>
  <c r="F51" i="1"/>
  <c r="F135" i="1"/>
  <c r="F126" i="1"/>
  <c r="F99" i="1"/>
  <c r="F149" i="1"/>
  <c r="AC138" i="1"/>
  <c r="AC51" i="1"/>
  <c r="AC136" i="1"/>
  <c r="F137" i="1"/>
  <c r="F150" i="1"/>
  <c r="Q135" i="1"/>
  <c r="Q83" i="1"/>
  <c r="F115" i="1"/>
  <c r="X51" i="1"/>
  <c r="X115" i="1"/>
  <c r="X36" i="1"/>
  <c r="T36" i="1"/>
  <c r="T149" i="1"/>
  <c r="T115" i="1"/>
  <c r="T51" i="1"/>
  <c r="T99" i="1"/>
  <c r="AG51" i="1"/>
  <c r="AF73" i="1"/>
  <c r="G73" i="1"/>
  <c r="L73" i="1"/>
  <c r="L136" i="1"/>
  <c r="L138" i="1"/>
  <c r="P137" i="1"/>
  <c r="P139" i="1" s="1"/>
  <c r="P151" i="1" s="1"/>
  <c r="T138" i="1"/>
  <c r="T136" i="1"/>
  <c r="X136" i="1"/>
  <c r="X73" i="1"/>
  <c r="X138" i="1"/>
  <c r="AG73" i="1"/>
  <c r="G135" i="1"/>
  <c r="P135" i="1"/>
  <c r="R73" i="1"/>
  <c r="R135" i="1"/>
  <c r="R126" i="1"/>
  <c r="R99" i="1"/>
  <c r="F73" i="1"/>
  <c r="U51" i="1"/>
  <c r="U126" i="1"/>
  <c r="U115" i="1"/>
  <c r="U73" i="1"/>
  <c r="U149" i="1"/>
  <c r="W138" i="1"/>
  <c r="H150" i="1"/>
  <c r="H137" i="1"/>
  <c r="G51" i="1"/>
  <c r="S51" i="1"/>
  <c r="AG135" i="1"/>
  <c r="Q99" i="1"/>
  <c r="Q126" i="1"/>
  <c r="Q149" i="1"/>
  <c r="Q115" i="1"/>
  <c r="Y36" i="1"/>
  <c r="Y135" i="1"/>
  <c r="Y150" i="1" s="1"/>
  <c r="Y51" i="1"/>
  <c r="AF51" i="1"/>
  <c r="AF115" i="1"/>
  <c r="AF83" i="1"/>
  <c r="AD73" i="1"/>
  <c r="AD138" i="1"/>
  <c r="AD139" i="1" s="1"/>
  <c r="AF99" i="1"/>
  <c r="N136" i="1"/>
  <c r="N138" i="1"/>
  <c r="R138" i="1"/>
  <c r="R139" i="1" s="1"/>
  <c r="R151" i="1" s="1"/>
  <c r="R115" i="1"/>
  <c r="T126" i="1"/>
  <c r="AD115" i="1"/>
  <c r="AD36" i="1"/>
  <c r="AD149" i="1"/>
  <c r="AD135" i="1"/>
  <c r="AD99" i="1"/>
  <c r="AG36" i="1"/>
  <c r="AG136" i="1"/>
  <c r="AG138" i="1"/>
  <c r="F138" i="1"/>
  <c r="F36" i="1"/>
  <c r="J136" i="1"/>
  <c r="O138" i="1"/>
  <c r="O139" i="1" s="1"/>
  <c r="O151" i="1" s="1"/>
  <c r="O36" i="1"/>
  <c r="S138" i="1"/>
  <c r="S136" i="1"/>
  <c r="S36" i="1"/>
  <c r="W136" i="1"/>
  <c r="AF136" i="1"/>
  <c r="AB70" i="1"/>
  <c r="AE138" i="1"/>
  <c r="AE136" i="1"/>
  <c r="AC73" i="1"/>
  <c r="AE73" i="1"/>
  <c r="T83" i="1"/>
  <c r="X83" i="1"/>
  <c r="U150" i="1"/>
  <c r="U137" i="1"/>
  <c r="U139" i="1" s="1"/>
  <c r="AD151" i="1" l="1"/>
  <c r="AF151" i="4"/>
  <c r="Y139" i="4"/>
  <c r="Y151" i="4" s="1"/>
  <c r="Q51" i="4"/>
  <c r="Q149" i="4"/>
  <c r="Q99" i="4"/>
  <c r="Q36" i="4"/>
  <c r="Q115" i="4"/>
  <c r="Q73" i="4"/>
  <c r="Q126" i="4"/>
  <c r="N150" i="4"/>
  <c r="N137" i="4"/>
  <c r="N139" i="4" s="1"/>
  <c r="N151" i="4" s="1"/>
  <c r="Q83" i="4"/>
  <c r="R139" i="4"/>
  <c r="R151" i="4" s="1"/>
  <c r="M139" i="4"/>
  <c r="M151" i="4" s="1"/>
  <c r="E150" i="4"/>
  <c r="E137" i="4"/>
  <c r="E139" i="4" s="1"/>
  <c r="X150" i="4"/>
  <c r="X137" i="4"/>
  <c r="X139" i="4" s="1"/>
  <c r="X151" i="4" s="1"/>
  <c r="AB136" i="4"/>
  <c r="AB73" i="4"/>
  <c r="AB138" i="4"/>
  <c r="L150" i="4"/>
  <c r="L137" i="4"/>
  <c r="L139" i="4" s="1"/>
  <c r="L151" i="4" s="1"/>
  <c r="AG36" i="4"/>
  <c r="AG136" i="4"/>
  <c r="AG138" i="4"/>
  <c r="Q135" i="4"/>
  <c r="P137" i="4"/>
  <c r="P139" i="4" s="1"/>
  <c r="P151" i="4" s="1"/>
  <c r="P150" i="4"/>
  <c r="K139" i="4"/>
  <c r="W138" i="4"/>
  <c r="W139" i="4" s="1"/>
  <c r="U139" i="4"/>
  <c r="U151" i="4" s="1"/>
  <c r="AE139" i="4"/>
  <c r="AE151" i="4" s="1"/>
  <c r="F135" i="4"/>
  <c r="F73" i="4"/>
  <c r="F99" i="4"/>
  <c r="F115" i="4"/>
  <c r="F36" i="4"/>
  <c r="F51" i="4"/>
  <c r="F83" i="4"/>
  <c r="F126" i="4"/>
  <c r="AC150" i="4"/>
  <c r="AC137" i="4"/>
  <c r="AC139" i="4" s="1"/>
  <c r="AC151" i="4" s="1"/>
  <c r="J150" i="4"/>
  <c r="J137" i="4"/>
  <c r="J139" i="4" s="1"/>
  <c r="J151" i="4" s="1"/>
  <c r="AD150" i="4"/>
  <c r="AD137" i="4"/>
  <c r="AD139" i="4" s="1"/>
  <c r="AD151" i="4" s="1"/>
  <c r="I99" i="4"/>
  <c r="I51" i="4"/>
  <c r="I36" i="4"/>
  <c r="I126" i="4"/>
  <c r="I73" i="4"/>
  <c r="I149" i="4"/>
  <c r="I83" i="4"/>
  <c r="I135" i="4"/>
  <c r="F151" i="4"/>
  <c r="G137" i="4"/>
  <c r="G139" i="4" s="1"/>
  <c r="G151" i="4" s="1"/>
  <c r="G150" i="4"/>
  <c r="K149" i="4"/>
  <c r="Q137" i="4"/>
  <c r="Q139" i="4" s="1"/>
  <c r="Q151" i="4" s="1"/>
  <c r="Q150" i="4"/>
  <c r="H150" i="4"/>
  <c r="H137" i="4"/>
  <c r="H139" i="4" s="1"/>
  <c r="H151" i="4" s="1"/>
  <c r="T137" i="4"/>
  <c r="T139" i="4" s="1"/>
  <c r="T151" i="4" s="1"/>
  <c r="T150" i="4"/>
  <c r="E73" i="3"/>
  <c r="E51" i="3"/>
  <c r="E83" i="3"/>
  <c r="E99" i="3"/>
  <c r="E36" i="3"/>
  <c r="E126" i="3"/>
  <c r="E135" i="3"/>
  <c r="E149" i="3"/>
  <c r="E151" i="3" s="1"/>
  <c r="E115" i="3"/>
  <c r="P137" i="3"/>
  <c r="P139" i="3" s="1"/>
  <c r="P151" i="3" s="1"/>
  <c r="P150" i="3"/>
  <c r="S137" i="3"/>
  <c r="S139" i="3" s="1"/>
  <c r="S151" i="3" s="1"/>
  <c r="S150" i="3"/>
  <c r="H137" i="3"/>
  <c r="H139" i="3" s="1"/>
  <c r="H151" i="3" s="1"/>
  <c r="H150" i="3"/>
  <c r="N137" i="3"/>
  <c r="N139" i="3" s="1"/>
  <c r="N151" i="3" s="1"/>
  <c r="N150" i="3"/>
  <c r="AF151" i="3"/>
  <c r="Q139" i="3"/>
  <c r="AG150" i="3"/>
  <c r="AG137" i="3"/>
  <c r="AG139" i="3" s="1"/>
  <c r="AG151" i="3" s="1"/>
  <c r="F137" i="3"/>
  <c r="F139" i="3" s="1"/>
  <c r="F151" i="3" s="1"/>
  <c r="F150" i="3"/>
  <c r="AA150" i="3" s="1"/>
  <c r="M99" i="3"/>
  <c r="M73" i="3"/>
  <c r="M83" i="3"/>
  <c r="M149" i="3"/>
  <c r="M151" i="3" s="1"/>
  <c r="M126" i="3"/>
  <c r="M135" i="3"/>
  <c r="M51" i="3"/>
  <c r="M36" i="3"/>
  <c r="M115" i="3"/>
  <c r="R150" i="3"/>
  <c r="R137" i="3"/>
  <c r="R139" i="3" s="1"/>
  <c r="AB150" i="3"/>
  <c r="AB137" i="3"/>
  <c r="AB139" i="3" s="1"/>
  <c r="AC150" i="3"/>
  <c r="AC137" i="3"/>
  <c r="AC139" i="3" s="1"/>
  <c r="AC151" i="3" s="1"/>
  <c r="O150" i="3"/>
  <c r="O137" i="3"/>
  <c r="O139" i="3" s="1"/>
  <c r="O151" i="3" s="1"/>
  <c r="J137" i="3"/>
  <c r="J139" i="3" s="1"/>
  <c r="J151" i="3" s="1"/>
  <c r="J150" i="3"/>
  <c r="G151" i="3"/>
  <c r="AD138" i="2"/>
  <c r="AD139" i="2" s="1"/>
  <c r="AB138" i="2"/>
  <c r="AB136" i="2"/>
  <c r="AB137" i="2" s="1"/>
  <c r="AD36" i="2"/>
  <c r="AD115" i="2"/>
  <c r="AD83" i="2"/>
  <c r="AD135" i="2"/>
  <c r="AD99" i="2"/>
  <c r="AD149" i="2"/>
  <c r="AD73" i="2"/>
  <c r="AD51" i="2"/>
  <c r="AF137" i="2"/>
  <c r="AF139" i="2" s="1"/>
  <c r="AF36" i="2"/>
  <c r="AF83" i="2"/>
  <c r="AF73" i="2"/>
  <c r="AF149" i="2"/>
  <c r="AF135" i="2"/>
  <c r="AF115" i="2"/>
  <c r="AC151" i="2"/>
  <c r="AG137" i="2"/>
  <c r="AG139" i="2" s="1"/>
  <c r="AG151" i="2" s="1"/>
  <c r="AG150" i="2"/>
  <c r="AB150" i="2"/>
  <c r="AE150" i="2"/>
  <c r="AE137" i="2"/>
  <c r="AE139" i="2" s="1"/>
  <c r="AE151" i="2" s="1"/>
  <c r="AF99" i="2"/>
  <c r="U151" i="1"/>
  <c r="Q151" i="1"/>
  <c r="M139" i="1"/>
  <c r="J115" i="1"/>
  <c r="J36" i="1"/>
  <c r="J73" i="1"/>
  <c r="J83" i="1"/>
  <c r="J126" i="1"/>
  <c r="J149" i="1"/>
  <c r="J51" i="1"/>
  <c r="J99" i="1"/>
  <c r="J135" i="1"/>
  <c r="J138" i="1"/>
  <c r="I135" i="1"/>
  <c r="I51" i="1"/>
  <c r="I126" i="1"/>
  <c r="I99" i="1"/>
  <c r="I73" i="1"/>
  <c r="I83" i="1"/>
  <c r="I115" i="1"/>
  <c r="I36" i="1"/>
  <c r="I149" i="1"/>
  <c r="I151" i="1" s="1"/>
  <c r="G83" i="1"/>
  <c r="G126" i="1"/>
  <c r="G149" i="1"/>
  <c r="G151" i="1" s="1"/>
  <c r="G99" i="1"/>
  <c r="G115" i="1"/>
  <c r="G36" i="1"/>
  <c r="AE137" i="1"/>
  <c r="AE139" i="1" s="1"/>
  <c r="AE151" i="1" s="1"/>
  <c r="AE150" i="1"/>
  <c r="J150" i="1"/>
  <c r="J137" i="1"/>
  <c r="AG150" i="1"/>
  <c r="AG137" i="1"/>
  <c r="AG139" i="1" s="1"/>
  <c r="AG151" i="1" s="1"/>
  <c r="N150" i="1"/>
  <c r="N137" i="1"/>
  <c r="N139" i="1" s="1"/>
  <c r="N151" i="1" s="1"/>
  <c r="X150" i="1"/>
  <c r="X137" i="1"/>
  <c r="X139" i="1" s="1"/>
  <c r="X151" i="1" s="1"/>
  <c r="W150" i="1"/>
  <c r="W137" i="1"/>
  <c r="W139" i="1" s="1"/>
  <c r="T150" i="1"/>
  <c r="T137" i="1"/>
  <c r="T139" i="1" s="1"/>
  <c r="T151" i="1" s="1"/>
  <c r="L150" i="1"/>
  <c r="AA150" i="1" s="1"/>
  <c r="L137" i="1"/>
  <c r="L139" i="1" s="1"/>
  <c r="L151" i="1" s="1"/>
  <c r="AB136" i="1"/>
  <c r="E137" i="1"/>
  <c r="AF150" i="1"/>
  <c r="AF137" i="1"/>
  <c r="AF139" i="1" s="1"/>
  <c r="AF151" i="1" s="1"/>
  <c r="S150" i="1"/>
  <c r="S137" i="1"/>
  <c r="S139" i="1" s="1"/>
  <c r="S151" i="1" s="1"/>
  <c r="H138" i="1"/>
  <c r="H139" i="1" s="1"/>
  <c r="E138" i="1"/>
  <c r="F139" i="1"/>
  <c r="F151" i="1" s="1"/>
  <c r="AC137" i="1"/>
  <c r="AC139" i="1" s="1"/>
  <c r="AC151" i="1" s="1"/>
  <c r="AC150" i="1"/>
  <c r="AD151" i="2" l="1"/>
  <c r="AB139" i="2"/>
  <c r="I151" i="4"/>
  <c r="AB150" i="4"/>
  <c r="AB137" i="4"/>
  <c r="AB139" i="4" s="1"/>
  <c r="AA150" i="4"/>
  <c r="AA139" i="4"/>
  <c r="E151" i="4"/>
  <c r="K151" i="4"/>
  <c r="W115" i="4"/>
  <c r="AA115" i="4" s="1"/>
  <c r="AA110" i="4" s="1"/>
  <c r="W149" i="4"/>
  <c r="AA149" i="4" s="1"/>
  <c r="W126" i="4"/>
  <c r="AA126" i="4" s="1"/>
  <c r="AA121" i="4" s="1"/>
  <c r="W73" i="4"/>
  <c r="AA73" i="4" s="1"/>
  <c r="AA68" i="4" s="1"/>
  <c r="W51" i="4"/>
  <c r="AA51" i="4" s="1"/>
  <c r="AA46" i="4" s="1"/>
  <c r="W135" i="4"/>
  <c r="AA135" i="4" s="1"/>
  <c r="AA132" i="4" s="1"/>
  <c r="W83" i="4"/>
  <c r="AA83" i="4" s="1"/>
  <c r="AA79" i="4" s="1"/>
  <c r="W99" i="4"/>
  <c r="AA99" i="4" s="1"/>
  <c r="AA94" i="4" s="1"/>
  <c r="W36" i="4"/>
  <c r="AA36" i="4" s="1"/>
  <c r="AA31" i="4" s="1"/>
  <c r="AG150" i="4"/>
  <c r="AG137" i="4"/>
  <c r="AG139" i="4" s="1"/>
  <c r="AG151" i="4" s="1"/>
  <c r="AB151" i="3"/>
  <c r="AH151" i="3" s="1"/>
  <c r="C156" i="3" s="1"/>
  <c r="AH139" i="3"/>
  <c r="R99" i="3"/>
  <c r="R115" i="3"/>
  <c r="AA115" i="3" s="1"/>
  <c r="AA110" i="3" s="1"/>
  <c r="R83" i="3"/>
  <c r="R126" i="3"/>
  <c r="R73" i="3"/>
  <c r="R149" i="3"/>
  <c r="R151" i="3" s="1"/>
  <c r="R36" i="3"/>
  <c r="R135" i="3"/>
  <c r="R51" i="3"/>
  <c r="AH150" i="3"/>
  <c r="AA139" i="3"/>
  <c r="Q126" i="3"/>
  <c r="AA126" i="3" s="1"/>
  <c r="AA121" i="3" s="1"/>
  <c r="Q51" i="3"/>
  <c r="AA51" i="3" s="1"/>
  <c r="AA46" i="3" s="1"/>
  <c r="Q83" i="3"/>
  <c r="AA83" i="3" s="1"/>
  <c r="AA79" i="3" s="1"/>
  <c r="Q36" i="3"/>
  <c r="Q149" i="3"/>
  <c r="Q151" i="3" s="1"/>
  <c r="Q135" i="3"/>
  <c r="AA135" i="3" s="1"/>
  <c r="AA132" i="3" s="1"/>
  <c r="Q99" i="3"/>
  <c r="AA99" i="3" s="1"/>
  <c r="AA94" i="3" s="1"/>
  <c r="Q115" i="3"/>
  <c r="Q73" i="3"/>
  <c r="AA73" i="3" s="1"/>
  <c r="AA68" i="3" s="1"/>
  <c r="AA36" i="3"/>
  <c r="AA31" i="3" s="1"/>
  <c r="AH150" i="2"/>
  <c r="AH139" i="2"/>
  <c r="AB151" i="2"/>
  <c r="AF151" i="2"/>
  <c r="M83" i="1"/>
  <c r="M115" i="1"/>
  <c r="M36" i="1"/>
  <c r="M149" i="1"/>
  <c r="M151" i="1" s="1"/>
  <c r="M51" i="1"/>
  <c r="M99" i="1"/>
  <c r="M73" i="1"/>
  <c r="M135" i="1"/>
  <c r="M126" i="1"/>
  <c r="J139" i="1"/>
  <c r="J151" i="1" s="1"/>
  <c r="H135" i="1"/>
  <c r="H73" i="1"/>
  <c r="H115" i="1"/>
  <c r="H36" i="1"/>
  <c r="H99" i="1"/>
  <c r="H126" i="1"/>
  <c r="H83" i="1"/>
  <c r="H149" i="1"/>
  <c r="H151" i="1" s="1"/>
  <c r="H51" i="1"/>
  <c r="AB150" i="1"/>
  <c r="AH150" i="1" s="1"/>
  <c r="W149" i="1"/>
  <c r="W151" i="1" s="1"/>
  <c r="W115" i="1"/>
  <c r="W83" i="1"/>
  <c r="W135" i="1"/>
  <c r="W99" i="1"/>
  <c r="W73" i="1"/>
  <c r="W51" i="1"/>
  <c r="W126" i="1"/>
  <c r="W36" i="1"/>
  <c r="E139" i="1"/>
  <c r="AB151" i="4" l="1"/>
  <c r="AH151" i="4" s="1"/>
  <c r="C156" i="4" s="1"/>
  <c r="AH139" i="4"/>
  <c r="W151" i="4"/>
  <c r="AA151" i="4" s="1"/>
  <c r="B156" i="4" s="1"/>
  <c r="AH150" i="4"/>
  <c r="AA151" i="3"/>
  <c r="B156" i="3" s="1"/>
  <c r="AA149" i="3"/>
  <c r="AH151" i="2"/>
  <c r="C156" i="2" s="1"/>
  <c r="AA139" i="1"/>
  <c r="E126" i="1"/>
  <c r="AA126" i="1" s="1"/>
  <c r="AA121" i="1" s="1"/>
  <c r="E135" i="1"/>
  <c r="AA135" i="1" s="1"/>
  <c r="AA132" i="1" s="1"/>
  <c r="E51" i="1"/>
  <c r="AA51" i="1" s="1"/>
  <c r="AA46" i="1" s="1"/>
  <c r="E83" i="1"/>
  <c r="AA83" i="1" s="1"/>
  <c r="AA79" i="1" s="1"/>
  <c r="E99" i="1"/>
  <c r="AA99" i="1" s="1"/>
  <c r="AA94" i="1" s="1"/>
  <c r="E36" i="1"/>
  <c r="AA36" i="1" s="1"/>
  <c r="AA31" i="1" s="1"/>
  <c r="E149" i="1"/>
  <c r="AA149" i="1" s="1"/>
  <c r="AA145" i="1" s="1"/>
  <c r="E73" i="1"/>
  <c r="AA73" i="1" s="1"/>
  <c r="AA68" i="1" s="1"/>
  <c r="E115" i="1"/>
  <c r="AA115" i="1" s="1"/>
  <c r="AA110" i="1" s="1"/>
  <c r="D156" i="4" l="1"/>
  <c r="E156" i="4"/>
  <c r="E151" i="1"/>
  <c r="D10" i="6" l="1"/>
  <c r="D9" i="6"/>
  <c r="D8" i="6"/>
  <c r="AA151" i="1"/>
  <c r="B156" i="1" s="1"/>
  <c r="D156" i="1" l="1"/>
  <c r="H138" i="2" l="1"/>
  <c r="Z137" i="2"/>
  <c r="Z139" i="2" s="1"/>
  <c r="Z151" i="2" s="1"/>
  <c r="E73" i="2"/>
  <c r="U137" i="2"/>
  <c r="T138" i="2"/>
  <c r="R138" i="2"/>
  <c r="F138" i="2"/>
  <c r="Q138" i="2"/>
  <c r="E115" i="2"/>
  <c r="G137" i="2"/>
  <c r="P138" i="2"/>
  <c r="E149" i="2"/>
  <c r="X138" i="2"/>
  <c r="V138" i="2"/>
  <c r="I137" i="2"/>
  <c r="Q137" i="2"/>
  <c r="E99" i="2"/>
  <c r="V137" i="2"/>
  <c r="F115" i="2"/>
  <c r="F149" i="2"/>
  <c r="F126" i="2"/>
  <c r="F73" i="2"/>
  <c r="F99" i="2"/>
  <c r="F83" i="2"/>
  <c r="F135" i="2"/>
  <c r="F51" i="2"/>
  <c r="F36" i="2"/>
  <c r="E51" i="2"/>
  <c r="E135" i="2"/>
  <c r="K138" i="2"/>
  <c r="Y135" i="2"/>
  <c r="Y150" i="2" s="1"/>
  <c r="K137" i="2"/>
  <c r="W137" i="2"/>
  <c r="N138" i="2"/>
  <c r="J137" i="2"/>
  <c r="Y137" i="2"/>
  <c r="U138" i="2"/>
  <c r="O138" i="2"/>
  <c r="T137" i="2"/>
  <c r="M137" i="2"/>
  <c r="Z138" i="2"/>
  <c r="R137" i="2"/>
  <c r="P139" i="2"/>
  <c r="P137" i="2"/>
  <c r="E126" i="2"/>
  <c r="K149" i="2"/>
  <c r="F137" i="2"/>
  <c r="F139" i="2" s="1"/>
  <c r="F151" i="2" s="1"/>
  <c r="O137" i="2"/>
  <c r="M138" i="2"/>
  <c r="E137" i="2"/>
  <c r="G138" i="2"/>
  <c r="E138" i="2"/>
  <c r="I138" i="2"/>
  <c r="H137" i="2"/>
  <c r="H139" i="2" s="1"/>
  <c r="H151" i="2" s="1"/>
  <c r="S138" i="2"/>
  <c r="Y138" i="2"/>
  <c r="X137" i="2"/>
  <c r="X139" i="2" s="1"/>
  <c r="Y99" i="2"/>
  <c r="Y51" i="2"/>
  <c r="Y83" i="2"/>
  <c r="Y115" i="2"/>
  <c r="Y126" i="2"/>
  <c r="Y36" i="2"/>
  <c r="Y73" i="2"/>
  <c r="Z126" i="2"/>
  <c r="Z51" i="2"/>
  <c r="Z73" i="2"/>
  <c r="Z83" i="2"/>
  <c r="Z36" i="2"/>
  <c r="Z115" i="2"/>
  <c r="Z99" i="2"/>
  <c r="J73" i="2"/>
  <c r="J135" i="2"/>
  <c r="J36" i="2"/>
  <c r="J126" i="2"/>
  <c r="J51" i="2"/>
  <c r="J115" i="2"/>
  <c r="J149" i="2"/>
  <c r="J99" i="2"/>
  <c r="J83" i="2"/>
  <c r="G135" i="2"/>
  <c r="G51" i="2"/>
  <c r="G83" i="2"/>
  <c r="G115" i="2"/>
  <c r="G73" i="2"/>
  <c r="G36" i="2"/>
  <c r="G149" i="2"/>
  <c r="G126" i="2"/>
  <c r="G99" i="2"/>
  <c r="I51" i="2"/>
  <c r="I73" i="2"/>
  <c r="I36" i="2"/>
  <c r="I149" i="2"/>
  <c r="I115" i="2"/>
  <c r="I135" i="2"/>
  <c r="I99" i="2"/>
  <c r="I83" i="2"/>
  <c r="I126" i="2"/>
  <c r="M83" i="2"/>
  <c r="M99" i="2"/>
  <c r="M126" i="2"/>
  <c r="M115" i="2"/>
  <c r="M149" i="2"/>
  <c r="M36" i="2"/>
  <c r="M51" i="2"/>
  <c r="M135" i="2"/>
  <c r="M73" i="2"/>
  <c r="H36" i="2"/>
  <c r="H149" i="2"/>
  <c r="H51" i="2"/>
  <c r="H83" i="2"/>
  <c r="H135" i="2"/>
  <c r="H99" i="2"/>
  <c r="H73" i="2"/>
  <c r="H126" i="2"/>
  <c r="H115" i="2"/>
  <c r="T51" i="2"/>
  <c r="T135" i="2"/>
  <c r="T99" i="2"/>
  <c r="T36" i="2"/>
  <c r="T149" i="2"/>
  <c r="T115" i="2"/>
  <c r="T126" i="2"/>
  <c r="T83" i="2"/>
  <c r="T73" i="2"/>
  <c r="W51" i="2"/>
  <c r="W83" i="2"/>
  <c r="W149" i="2"/>
  <c r="W135" i="2"/>
  <c r="W36" i="2"/>
  <c r="W126" i="2"/>
  <c r="W73" i="2"/>
  <c r="W99" i="2"/>
  <c r="W115" i="2"/>
  <c r="N73" i="2"/>
  <c r="N83" i="2"/>
  <c r="N51" i="2"/>
  <c r="N126" i="2"/>
  <c r="N135" i="2"/>
  <c r="N149" i="2"/>
  <c r="N99" i="2"/>
  <c r="N36" i="2"/>
  <c r="N115" i="2"/>
  <c r="P115" i="2"/>
  <c r="P126" i="2"/>
  <c r="P135" i="2"/>
  <c r="P36" i="2"/>
  <c r="P99" i="2"/>
  <c r="P73" i="2"/>
  <c r="P83" i="2"/>
  <c r="P51" i="2"/>
  <c r="P149" i="2"/>
  <c r="U36" i="2"/>
  <c r="U73" i="2"/>
  <c r="U135" i="2"/>
  <c r="U99" i="2"/>
  <c r="U51" i="2"/>
  <c r="U126" i="2"/>
  <c r="U115" i="2"/>
  <c r="U149" i="2"/>
  <c r="U83" i="2"/>
  <c r="S149" i="2"/>
  <c r="S135" i="2"/>
  <c r="S36" i="2"/>
  <c r="S73" i="2"/>
  <c r="S51" i="2"/>
  <c r="S99" i="2"/>
  <c r="S115" i="2"/>
  <c r="S83" i="2"/>
  <c r="S126" i="2"/>
  <c r="V51" i="2"/>
  <c r="V135" i="2"/>
  <c r="V115" i="2"/>
  <c r="V73" i="2"/>
  <c r="V126" i="2"/>
  <c r="V83" i="2"/>
  <c r="V99" i="2"/>
  <c r="V149" i="2"/>
  <c r="V36" i="2"/>
  <c r="X99" i="2"/>
  <c r="X115" i="2"/>
  <c r="X149" i="2"/>
  <c r="X36" i="2"/>
  <c r="X126" i="2"/>
  <c r="X73" i="2"/>
  <c r="X83" i="2"/>
  <c r="X51" i="2"/>
  <c r="X135" i="2"/>
  <c r="L73" i="2"/>
  <c r="L99" i="2"/>
  <c r="L135" i="2"/>
  <c r="L115" i="2"/>
  <c r="L83" i="2"/>
  <c r="L149" i="2"/>
  <c r="L36" i="2"/>
  <c r="L51" i="2"/>
  <c r="L126" i="2"/>
  <c r="R83" i="2"/>
  <c r="R126" i="2"/>
  <c r="R36" i="2"/>
  <c r="R149" i="2"/>
  <c r="R99" i="2"/>
  <c r="R73" i="2"/>
  <c r="R51" i="2"/>
  <c r="R135" i="2"/>
  <c r="R115" i="2"/>
  <c r="O149" i="2"/>
  <c r="O36" i="2"/>
  <c r="O115" i="2"/>
  <c r="O126" i="2"/>
  <c r="O99" i="2"/>
  <c r="O135" i="2"/>
  <c r="O51" i="2"/>
  <c r="O83" i="2"/>
  <c r="O73" i="2"/>
  <c r="L137" i="2"/>
  <c r="J138" i="2"/>
  <c r="J139" i="2" s="1"/>
  <c r="E83" i="2"/>
  <c r="W138" i="2"/>
  <c r="E36" i="2"/>
  <c r="Z135" i="2"/>
  <c r="Z150" i="2" s="1"/>
  <c r="Q135" i="2"/>
  <c r="Q73" i="2"/>
  <c r="Q99" i="2"/>
  <c r="Q115" i="2"/>
  <c r="Q83" i="2"/>
  <c r="Q36" i="2"/>
  <c r="Q51" i="2"/>
  <c r="Q126" i="2"/>
  <c r="Q149" i="2"/>
  <c r="N137" i="2"/>
  <c r="S137" i="2"/>
  <c r="S139" i="2" s="1"/>
  <c r="S151" i="2" s="1"/>
  <c r="L138" i="2"/>
  <c r="T139" i="2" l="1"/>
  <c r="Q139" i="2"/>
  <c r="N139" i="2"/>
  <c r="N151" i="2" s="1"/>
  <c r="V139" i="2"/>
  <c r="V151" i="2" s="1"/>
  <c r="W139" i="2"/>
  <c r="W151" i="2" s="1"/>
  <c r="L139" i="2"/>
  <c r="L151" i="2" s="1"/>
  <c r="P151" i="2"/>
  <c r="T151" i="2"/>
  <c r="X151" i="2"/>
  <c r="R139" i="2"/>
  <c r="R151" i="2" s="1"/>
  <c r="Y139" i="2"/>
  <c r="Y151" i="2" s="1"/>
  <c r="K139" i="2"/>
  <c r="K151" i="2" s="1"/>
  <c r="E139" i="2"/>
  <c r="Q151" i="2"/>
  <c r="U139" i="2"/>
  <c r="U151" i="2" s="1"/>
  <c r="J151" i="2"/>
  <c r="M139" i="2"/>
  <c r="M151" i="2" s="1"/>
  <c r="O139" i="2"/>
  <c r="O151" i="2" s="1"/>
  <c r="I139" i="2"/>
  <c r="I151" i="2" s="1"/>
  <c r="G139" i="2"/>
  <c r="G151" i="2" s="1"/>
  <c r="AA83" i="2"/>
  <c r="AA79" i="2" s="1"/>
  <c r="AA99" i="2"/>
  <c r="AA94" i="2" s="1"/>
  <c r="AA126" i="2"/>
  <c r="AA121" i="2" s="1"/>
  <c r="AA135" i="2"/>
  <c r="AA132" i="2" s="1"/>
  <c r="AA73" i="2"/>
  <c r="AA68" i="2" s="1"/>
  <c r="AA51" i="2"/>
  <c r="AA46" i="2" s="1"/>
  <c r="AA115" i="2"/>
  <c r="AA110" i="2" s="1"/>
  <c r="AA36" i="2"/>
  <c r="AA31" i="2" s="1"/>
  <c r="E151" i="2"/>
  <c r="AA150" i="2"/>
  <c r="AA149" i="2"/>
  <c r="AA151" i="2" l="1"/>
  <c r="B156" i="2" s="1"/>
  <c r="AA139" i="2"/>
  <c r="AB139" i="1"/>
  <c r="AB4" i="1"/>
  <c r="AB5" i="1" s="1"/>
  <c r="AB36" i="1" s="1"/>
  <c r="AH139" i="1" l="1"/>
  <c r="AB135" i="1"/>
  <c r="AB51" i="1"/>
  <c r="AB73" i="1"/>
  <c r="AB83" i="1"/>
  <c r="AB99" i="1"/>
  <c r="AB149" i="1"/>
  <c r="AB151" i="1" s="1"/>
  <c r="AH151" i="1" s="1"/>
  <c r="C156" i="1" s="1"/>
  <c r="D12" i="6" l="1"/>
  <c r="E156" i="1"/>
  <c r="D13" i="6" l="1"/>
  <c r="G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tc={63C95A94-FC4E-40A8-B802-5AC7F5FAA061}</author>
    <author>tc={DB99474D-D841-4434-A890-9E771F795EEF}</author>
    <author>tc={993B12B9-DD64-4A5F-B91C-FF922B121935}</author>
    <author>tc={F55D1340-7E35-4B7D-8F57-5135CC3C0191}</author>
    <author>tc={C180822F-BDD7-4C75-90D2-3ED1AA3B138D}</author>
    <author>tc={FA7DE72B-EE6C-4F33-B59C-8CD3A9625100}</author>
    <author>tc={26032CC4-A769-45CD-8B3B-B245D02A874E}</author>
    <author>tc={849B5B12-09F3-437D-A165-4537A89038E5}</author>
    <author>tc={83C6962D-3AF4-4D2C-B8D2-312CEC854698}</author>
    <author>tc={49CBF61D-AF2D-4CAC-B82C-6E3AEDFC082E}</author>
    <author>tc={CE5599C7-4C30-4E1B-A64D-855EF94842A8}</author>
    <author>tc={34484D79-F0C9-459D-904E-B2F86965FAE7}</author>
    <author>tc={65991A29-E664-4E24-A3C7-79690351B945}</author>
  </authors>
  <commentList>
    <comment ref="Q20" authorId="0" shapeId="0" xr:uid="{63C95A94-FC4E-40A8-B802-5AC7F5FAA06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NUEVO DESDE EL 01 DE JUNIO</t>
      </text>
    </comment>
    <comment ref="Q28" authorId="1" shapeId="0" xr:uid="{DB99474D-D841-4434-A890-9E771F795EEF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NUEVO DESDE EL 01 DE JUNIO</t>
      </text>
    </comment>
    <comment ref="K38" authorId="2" shapeId="0" xr:uid="{993B12B9-DD64-4A5F-B91C-FF922B12193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PASO A 24 HORAS DESDE EL 01 DE JUNIO</t>
      </text>
    </comment>
    <comment ref="M38" authorId="3" shapeId="0" xr:uid="{F55D1340-7E35-4B7D-8F57-5135CC3C0191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SERVICIOS PASARON A 24 HORAS DESDE EL 01 DE JUNIO
</t>
      </text>
    </comment>
    <comment ref="B44" authorId="4" shapeId="0" xr:uid="{C180822F-BDD7-4C75-90D2-3ED1AA3B138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PDTE CERTIFICADO AJUSTADO DE PETROQUIMICA</t>
      </text>
    </comment>
    <comment ref="N53" authorId="5" shapeId="0" xr:uid="{FA7DE72B-EE6C-4F33-B59C-8CD3A96251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se modifica a 24 horas todos los dias sin arma desde el 01 de junio</t>
      </text>
    </comment>
    <comment ref="N57" authorId="6" shapeId="0" xr:uid="{26032CC4-A769-45CD-8B3B-B245D02A874E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se modifica a 24 horas todos los dias sin arma desde el 01 de junio
</t>
      </text>
    </comment>
    <comment ref="B84" authorId="7" shapeId="0" xr:uid="{849B5B12-09F3-437D-A165-4537A89038E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</text>
    </comment>
    <comment ref="B85" authorId="8" shapeId="0" xr:uid="{83C6962D-3AF4-4D2C-B8D2-312CEC85469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</text>
    </comment>
    <comment ref="Q127" authorId="9" shapeId="0" xr:uid="{49CBF61D-AF2D-4CAC-B82C-6E3AEDFC082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  <comment ref="R127" authorId="10" shapeId="0" xr:uid="{CE5599C7-4C30-4E1B-A64D-855EF94842A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  <comment ref="N129" authorId="11" shapeId="0" xr:uid="{34484D79-F0C9-459D-904E-B2F86965FAE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SERVICIOS MODIFICADOS DESDE EL 01 DE JULIO A 24 HORAS TODOS LOS DIAS SIN ARMA</t>
      </text>
    </comment>
    <comment ref="P129" authorId="12" shapeId="0" xr:uid="{65991A29-E664-4E24-A3C7-79690351B94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tc={6CF46209-8AE8-4FF2-A3FD-4ECC8073DEC6}</author>
    <author>tc={E2501D76-5639-4BD9-910F-33578B263C70}</author>
    <author>tc={46C6A303-C7F4-4634-A576-BF2D3DF29440}</author>
    <author>tc={6E43D9B3-E2B4-4390-8CB4-C8F23ACC6A43}</author>
    <author>tc={98593E4F-8668-4316-AEAF-D6E279C86A68}</author>
    <author>tc={DE3D2867-AABC-4EC4-8B77-E11CECCBD3FA}</author>
    <author>tc={FC4A95F2-7182-49CE-8816-16EE9447A684}</author>
    <author>tc={F3959C7F-6463-4356-BA74-06067663B9F7}</author>
    <author>tc={426DE064-FE0D-45AB-8EF8-B2DD327BB516}</author>
    <author>tc={4588412E-FCE8-49EC-BE5B-F646329A5E58}</author>
    <author>tc={96D0E07D-1AF2-4202-B292-FF4ED2C719F5}</author>
    <author>tc={31E3DDE2-6462-4028-875E-7361C6E0F88C}</author>
    <author>tc={6087B9AB-DF3D-4663-B150-8528DAAD198B}</author>
  </authors>
  <commentList>
    <comment ref="Q20" authorId="0" shapeId="0" xr:uid="{6CF46209-8AE8-4FF2-A3FD-4ECC8073DEC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NUEVO DESDE EL 01 DE JUNIO</t>
      </text>
    </comment>
    <comment ref="Q28" authorId="1" shapeId="0" xr:uid="{E2501D76-5639-4BD9-910F-33578B263C7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NUEVO DESDE EL 01 DE JUNIO</t>
      </text>
    </comment>
    <comment ref="K38" authorId="2" shapeId="0" xr:uid="{46C6A303-C7F4-4634-A576-BF2D3DF2944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PASO A 24 HORAS DESDE EL 01 DE JUNIO</t>
      </text>
    </comment>
    <comment ref="M38" authorId="3" shapeId="0" xr:uid="{6E43D9B3-E2B4-4390-8CB4-C8F23ACC6A43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SERVICIOS PASARON A 24 HORAS DESDE EL 01 DE JUNIO
</t>
      </text>
    </comment>
    <comment ref="B44" authorId="4" shapeId="0" xr:uid="{98593E4F-8668-4316-AEAF-D6E279C86A6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PDTE CERTIFICADO AJUSTADO DE PETROQUIMICA</t>
      </text>
    </comment>
    <comment ref="N53" authorId="5" shapeId="0" xr:uid="{DE3D2867-AABC-4EC4-8B77-E11CECCBD3F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se modifica a 24 horas todos los dias sin arma desde el 01 de junio</t>
      </text>
    </comment>
    <comment ref="N57" authorId="6" shapeId="0" xr:uid="{FC4A95F2-7182-49CE-8816-16EE9447A684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se modifica a 24 horas todos los dias sin arma desde el 01 de junio
</t>
      </text>
    </comment>
    <comment ref="B84" authorId="7" shapeId="0" xr:uid="{F3959C7F-6463-4356-BA74-06067663B9F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</text>
    </comment>
    <comment ref="B85" authorId="8" shapeId="0" xr:uid="{426DE064-FE0D-45AB-8EF8-B2DD327BB51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</text>
    </comment>
    <comment ref="Q127" authorId="9" shapeId="0" xr:uid="{4588412E-FCE8-49EC-BE5B-F646329A5E5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  <comment ref="R127" authorId="10" shapeId="0" xr:uid="{96D0E07D-1AF2-4202-B292-FF4ED2C719F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  <comment ref="N129" authorId="11" shapeId="0" xr:uid="{31E3DDE2-6462-4028-875E-7361C6E0F88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SERVICIOS MODIFICADOS DESDE EL 01 DE JULIO A 24 HORAS TODOS LOS DIAS SIN ARMA</t>
      </text>
    </comment>
    <comment ref="P129" authorId="12" shapeId="0" xr:uid="{6087B9AB-DF3D-4663-B150-8528DAAD198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tc={14FC6283-4E0C-4619-B168-6C5E6843740D}</author>
    <author>tc={EC647F65-EB50-416B-B86A-209312892C22}</author>
    <author>tc={1D266BFF-057F-4DE7-9588-6C0F16194CC2}</author>
    <author>tc={8C746985-5078-48AB-B157-3762F723D2B7}</author>
    <author>tc={06F84BD7-A2C3-4F79-908A-956FA482C7A3}</author>
    <author>tc={9600AE20-CD23-4BBE-AF76-B9CBF5307782}</author>
    <author>tc={CA2A788B-E8A4-488F-9A83-752CD8B9C168}</author>
    <author>tc={9122F34B-1076-4D23-A5F3-A73082C9D6B0}</author>
    <author>tc={21E6071E-1319-4F59-91A5-7087981FB8D4}</author>
    <author>tc={FDCD6499-C0CE-4DB8-A9D7-DEF64FAD77C7}</author>
    <author>tc={ED852AE5-A3D9-45CD-A725-E3E968F00B8F}</author>
    <author>tc={5D947CE1-7594-488F-8E02-D935B49BC602}</author>
    <author>tc={2C49FF3E-CC98-402C-8E0B-FC3F6767668E}</author>
  </authors>
  <commentList>
    <comment ref="Q20" authorId="0" shapeId="0" xr:uid="{14FC6283-4E0C-4619-B168-6C5E6843740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NUEVO DESDE EL 01 DE JUNIO</t>
      </text>
    </comment>
    <comment ref="Q28" authorId="1" shapeId="0" xr:uid="{EC647F65-EB50-416B-B86A-209312892C2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NUEVO DESDE EL 01 DE JUNIO</t>
      </text>
    </comment>
    <comment ref="K38" authorId="2" shapeId="0" xr:uid="{1D266BFF-057F-4DE7-9588-6C0F16194CC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PASO A 24 HORAS DESDE EL 01 DE JUNIO</t>
      </text>
    </comment>
    <comment ref="M38" authorId="3" shapeId="0" xr:uid="{8C746985-5078-48AB-B157-3762F723D2B7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SERVICIOS PASARON A 24 HORAS DESDE EL 01 DE JUNIO
</t>
      </text>
    </comment>
    <comment ref="B44" authorId="4" shapeId="0" xr:uid="{06F84BD7-A2C3-4F79-908A-956FA482C7A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PDTE CERTIFICADO AJUSTADO DE PETROQUIMICA</t>
      </text>
    </comment>
    <comment ref="N53" authorId="5" shapeId="0" xr:uid="{9600AE20-CD23-4BBE-AF76-B9CBF530778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se modifica a 24 horas todos los dias sin arma desde el 01 de junio</t>
      </text>
    </comment>
    <comment ref="N57" authorId="6" shapeId="0" xr:uid="{CA2A788B-E8A4-488F-9A83-752CD8B9C168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se modifica a 24 horas todos los dias sin arma desde el 01 de junio
</t>
      </text>
    </comment>
    <comment ref="B84" authorId="7" shapeId="0" xr:uid="{9122F34B-1076-4D23-A5F3-A73082C9D6B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</text>
    </comment>
    <comment ref="B85" authorId="8" shapeId="0" xr:uid="{21E6071E-1319-4F59-91A5-7087981FB8D4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</text>
    </comment>
    <comment ref="Q127" authorId="9" shapeId="0" xr:uid="{FDCD6499-C0CE-4DB8-A9D7-DEF64FAD77C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  <comment ref="R127" authorId="10" shapeId="0" xr:uid="{ED852AE5-A3D9-45CD-A725-E3E968F00B8F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  <comment ref="N129" authorId="11" shapeId="0" xr:uid="{5D947CE1-7594-488F-8E02-D935B49BC60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SERVICIOS MODIFICADOS DESDE EL 01 DE JULIO A 24 HORAS TODOS LOS DIAS SIN ARMA</t>
      </text>
    </comment>
    <comment ref="P129" authorId="12" shapeId="0" xr:uid="{2C49FF3E-CC98-402C-8E0B-FC3F6767668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tc={726CD26A-7852-4D1A-BC32-D2946DFD817A}</author>
    <author>tc={355AD1F5-6A0C-455D-8F8A-AB63597C9767}</author>
    <author>tc={BE7DAE0C-2A70-4D7B-81F0-450CD160DBE8}</author>
    <author>tc={AA4BB3D3-3905-4BB8-8E47-EBDC77ACBED8}</author>
    <author>tc={1FB6B459-6935-4918-8204-34F102A1307D}</author>
    <author>tc={5FE9AD0A-DC72-4201-B424-DD84AB6CA208}</author>
    <author>tc={6F3A87F1-CB3B-483E-B78A-E2815A265147}</author>
    <author>tc={996EFADF-AC5F-4C20-B859-CD1135173532}</author>
    <author>tc={A0C6801B-F865-41A9-82F6-47B05531A613}</author>
    <author>tc={26672ACA-B3EB-44A4-A3E3-359F34FFBA12}</author>
    <author>tc={727988B4-32DB-4A7F-A92D-51C6A60E53B9}</author>
    <author>tc={81591AB3-6C2F-4886-915E-74553D233ECD}</author>
    <author>tc={E7C4D3C6-F3D9-460F-8375-AE1AA0BC3E3C}</author>
  </authors>
  <commentList>
    <comment ref="Q20" authorId="0" shapeId="0" xr:uid="{726CD26A-7852-4D1A-BC32-D2946DFD817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NUEVO DESDE EL 01 DE JUNIO</t>
      </text>
    </comment>
    <comment ref="Q28" authorId="1" shapeId="0" xr:uid="{355AD1F5-6A0C-455D-8F8A-AB63597C976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NUEVO DESDE EL 01 DE JUNIO</t>
      </text>
    </comment>
    <comment ref="K38" authorId="2" shapeId="0" xr:uid="{BE7DAE0C-2A70-4D7B-81F0-450CD160DBE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PASO A 24 HORAS DESDE EL 01 DE JUNIO</t>
      </text>
    </comment>
    <comment ref="M38" authorId="3" shapeId="0" xr:uid="{AA4BB3D3-3905-4BB8-8E47-EBDC77ACBED8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SERVICIOS PASARON A 24 HORAS DESDE EL 01 DE JUNIO
</t>
      </text>
    </comment>
    <comment ref="B44" authorId="4" shapeId="0" xr:uid="{1FB6B459-6935-4918-8204-34F102A1307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PDTE CERTIFICADO AJUSTADO DE PETROQUIMICA</t>
      </text>
    </comment>
    <comment ref="N53" authorId="5" shapeId="0" xr:uid="{5FE9AD0A-DC72-4201-B424-DD84AB6CA20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se modifica a 24 horas todos los dias sin arma desde el 01 de junio</t>
      </text>
    </comment>
    <comment ref="N57" authorId="6" shapeId="0" xr:uid="{6F3A87F1-CB3B-483E-B78A-E2815A265147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se modifica a 24 horas todos los dias sin arma desde el 01 de junio
</t>
      </text>
    </comment>
    <comment ref="B84" authorId="7" shapeId="0" xr:uid="{996EFADF-AC5F-4C20-B859-CD113517353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</text>
    </comment>
    <comment ref="B85" authorId="8" shapeId="0" xr:uid="{A0C6801B-F865-41A9-82F6-47B05531A61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cambiar certificación por que va del 30 de dic al 30 de enero y son dos por aparte</t>
      </text>
    </comment>
    <comment ref="Q127" authorId="9" shapeId="0" xr:uid="{26672ACA-B3EB-44A4-A3E3-359F34FFBA1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  <comment ref="R127" authorId="10" shapeId="0" xr:uid="{727988B4-32DB-4A7F-A92D-51C6A60E53B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  <comment ref="N129" authorId="11" shapeId="0" xr:uid="{81591AB3-6C2F-4886-915E-74553D233EC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SERVICIOS MODIFICADOS DESDE EL 01 DE JULIO A 24 HORAS TODOS LOS DIAS SIN ARMA</t>
      </text>
    </comment>
    <comment ref="P129" authorId="12" shapeId="0" xr:uid="{E7C4D3C6-F3D9-460F-8375-AE1AA0BC3E3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SERVICIO MODIFICADO DESDE EL 01 DE JULIO A 24 HORAS TODOS LOS DIAS SIN ARMA</t>
      </text>
    </comment>
  </commentList>
</comments>
</file>

<file path=xl/sharedStrings.xml><?xml version="1.0" encoding="utf-8"?>
<sst xmlns="http://schemas.openxmlformats.org/spreadsheetml/2006/main" count="2037" uniqueCount="280">
  <si>
    <t>COSTO DE MODALIDADES VIGILANCIA 2026 ZONA 1</t>
  </si>
  <si>
    <t xml:space="preserve">TARIFAS </t>
  </si>
  <si>
    <t>AYS</t>
  </si>
  <si>
    <t>IVA</t>
  </si>
  <si>
    <t>TOTAL</t>
  </si>
  <si>
    <t>REGIONAL</t>
  </si>
  <si>
    <t>CENTRO</t>
  </si>
  <si>
    <t xml:space="preserve">DIRECCIÓN </t>
  </si>
  <si>
    <t>MUNICIPIO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</si>
  <si>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</si>
  <si>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</si>
  <si>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</si>
  <si>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</si>
  <si>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</si>
  <si>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</si>
  <si>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 (INCLUYE 9 HORAS NOCTURNAS) TODOS LOS DÍAS SIN ARMA</t>
  </si>
  <si>
    <t>PUESTO 16 HORAS (INCLUYE 1 HORA NOCTURNA) TODOS LOS DÍAS SIN ARMA</t>
  </si>
  <si>
    <t>PUESTO 16 HORAS (INCLUYE 1 HORA NOCTURNA) LUNES A VIERNES NO INCLUYE FESTIVOS SIN ARMA</t>
  </si>
  <si>
    <r>
      <t xml:space="preserve">PUESTO 16 HORAS (INCLUYE 1 HORA NOCTURNA) </t>
    </r>
    <r>
      <rPr>
        <b/>
        <u/>
        <sz val="9"/>
        <rFont val="Arial Narrow"/>
        <family val="2"/>
      </rPr>
      <t>LUNES A SÁBADO</t>
    </r>
    <r>
      <rPr>
        <b/>
        <sz val="9"/>
        <rFont val="Arial Narrow"/>
        <family val="2"/>
      </rPr>
      <t xml:space="preserve"> NO INCLUYE FESTIVOS SIN ARMA</t>
    </r>
  </si>
  <si>
    <t>PUESTO 12 HORAS DIURNAS TODOS LOS DÍAS SIN ARMA</t>
  </si>
  <si>
    <r>
      <t xml:space="preserve">PUESTO 12 HORAS DIURNAS </t>
    </r>
    <r>
      <rPr>
        <b/>
        <u/>
        <sz val="9"/>
        <rFont val="Arial Narrow"/>
        <family val="2"/>
      </rPr>
      <t>LUNES A VIERNES</t>
    </r>
    <r>
      <rPr>
        <b/>
        <sz val="9"/>
        <rFont val="Arial Narrow"/>
        <family val="2"/>
      </rPr>
      <t xml:space="preserve"> NO INCLUYE FESTIVOS SIN ARMA</t>
    </r>
  </si>
  <si>
    <r>
      <t xml:space="preserve">PUESTO 12 HORAS DIURNAS </t>
    </r>
    <r>
      <rPr>
        <b/>
        <u/>
        <sz val="9"/>
        <rFont val="Arial Narrow"/>
        <family val="2"/>
      </rPr>
      <t>LUNES A SÁBADO</t>
    </r>
    <r>
      <rPr>
        <b/>
        <sz val="9"/>
        <rFont val="Arial Narrow"/>
        <family val="2"/>
      </rPr>
      <t xml:space="preserve"> NO INCLUYE FESTIVOS SIN ARMA</t>
    </r>
  </si>
  <si>
    <t>PUESTO 12 HORAS (INCLUYE 9 HORAS NOCTURNAS) TODOS LOS DIAS SIN ARMA</t>
  </si>
  <si>
    <t>PUESTO 12 HORAS (INCLUYE 9 HORAS NOCTURNAS) LUNES A SABADO  SIN ARMA</t>
  </si>
  <si>
    <t>PUESTO 12 HORAS (INCLUYE 9 HORAS NOCTURNAS) TODOS LOS DIAS CON ARMA</t>
  </si>
  <si>
    <t>PUESTO 8 HORAS NOCTURNAS TODOS LOS DÍAS CON ARMA</t>
  </si>
  <si>
    <t>PUESTO 8 HORAS NOCTURNAS TODOS LOS DÍAS SIN ARMA</t>
  </si>
  <si>
    <t>PUESTO 8 HORAS NOCTURNAS LUNES A VIERNES SIN ARMA</t>
  </si>
  <si>
    <r>
      <t xml:space="preserve">PUESTO 8 HORAS DIURNAS </t>
    </r>
    <r>
      <rPr>
        <b/>
        <u/>
        <sz val="9"/>
        <rFont val="Arial Narrow"/>
        <family val="2"/>
      </rPr>
      <t>LUNES A SÁBADO</t>
    </r>
    <r>
      <rPr>
        <b/>
        <sz val="9"/>
        <rFont val="Arial Narrow"/>
        <family val="2"/>
      </rPr>
      <t xml:space="preserve"> NO INCLUYE FESTIVOS SIN ARMA</t>
    </r>
  </si>
  <si>
    <t>PUESTO 8 HORAS DIURNAS LUNES A VIERNES NO INCLUYE FESTIVOS SIN ARMA</t>
  </si>
  <si>
    <t>PUESTO 8 HORAS DIURNAS TODOS LOS DIAS SIN ARMA</t>
  </si>
  <si>
    <t>Cámara tipo mini domo</t>
  </si>
  <si>
    <t>Cámara PTZ</t>
  </si>
  <si>
    <t>DVR</t>
  </si>
  <si>
    <t>Monitor</t>
  </si>
  <si>
    <t>Control de visitantes y de bienes (para Regionales)</t>
  </si>
  <si>
    <t>Alarma</t>
  </si>
  <si>
    <t>Atlantico</t>
  </si>
  <si>
    <t>Despacho Dirección</t>
  </si>
  <si>
    <t>Carrera 43  42-40 Piso 11 SUPERVISOR</t>
  </si>
  <si>
    <t>Barranquilla</t>
  </si>
  <si>
    <t>Centro de Comercio y Servicios</t>
  </si>
  <si>
    <t xml:space="preserve">Carrera 43  42-40 </t>
  </si>
  <si>
    <t>Centro de Comercio y Servicios Nodo SALUD</t>
  </si>
  <si>
    <t>Cra. 35 calle 32 esquina Hospital Barranquilla</t>
  </si>
  <si>
    <t>Centro de Comercio y Servicio Nodo Logística y Transporte</t>
  </si>
  <si>
    <t>Cra. 9 No.127 -  109 Urba. Caribe Verde</t>
  </si>
  <si>
    <t>Centro de Comercio y Servicio Nodo Servicios Financieros</t>
  </si>
  <si>
    <t>Cra 15 Sur  # 48-28 cayenas</t>
  </si>
  <si>
    <t>Centro de Comercio y Servicio Nodo Servicios Administrativos</t>
  </si>
  <si>
    <t>Calle 47 # 6-110 Via coordialidad</t>
  </si>
  <si>
    <t>Centro para el Desarrollo Agroecologico y Agroindustrial</t>
  </si>
  <si>
    <t>nodo operaciones comerciales cra 24 M con calle 48</t>
  </si>
  <si>
    <t>soledad</t>
  </si>
  <si>
    <t>Centro de Comercio y Servicio NODO DE HOTELERIA Y TURISMO</t>
  </si>
  <si>
    <t>Cra 50b # 39-86</t>
  </si>
  <si>
    <t>Centro de Comercio y Servicio NODO DE GASTRONOMIA Y BILINGUISMO</t>
  </si>
  <si>
    <t>Calle 7 1D 155 Juan de Acosta</t>
  </si>
  <si>
    <t>Juan de acosta</t>
  </si>
  <si>
    <t>Calle 9 No. 19-120 Barrio Santander</t>
  </si>
  <si>
    <t>Sabanalarga</t>
  </si>
  <si>
    <t xml:space="preserve"> Centro para el Desarrollo Agroecologico y Agroindustrial FINCA EL CANEY</t>
  </si>
  <si>
    <t>Kilómetro 35 Margen Oriental Carretera La Cordialidad A 3 Kilómetro.</t>
  </si>
  <si>
    <t>Kilometro 2-101 Vía Luruaco Cartagena</t>
  </si>
  <si>
    <t>LURUACO</t>
  </si>
  <si>
    <t>Centro para el Desarrollo Agroecologico y Agroindustrial NODO DE INDUSTRIAS CREATIVAS</t>
  </si>
  <si>
    <t>Carrera 54 # 49 - 09</t>
  </si>
  <si>
    <t>CENTRO NACIONAL COLOMBO ALEMAN</t>
  </si>
  <si>
    <t>Calle 30 No. 3E-164</t>
  </si>
  <si>
    <t>CENTRO NACIONAL COLOMBO ALEMAN Nodo ENERGIAS</t>
  </si>
  <si>
    <t>Cra 23 con calle 28 Rebolo</t>
  </si>
  <si>
    <t>CENTRO NACIONAL COLOMBO ALEMAN Nodo TICS</t>
  </si>
  <si>
    <t>Barrio Prado</t>
  </si>
  <si>
    <t>CENTRO NACIONAL COLOMBO ALEMAN Nodo Refrigeraciion</t>
  </si>
  <si>
    <t>Carrera 10 # 7E-110 Antiguo Coliseo del Sur lipaya</t>
  </si>
  <si>
    <t xml:space="preserve">CENTRO NACIONAL COLOMBO ALEMAN SUBSEDE MALAMBO </t>
  </si>
  <si>
    <t>Diagonal 18 No. 16 - 46 via al Caracolí sede metalmecanica</t>
  </si>
  <si>
    <t>Malambo</t>
  </si>
  <si>
    <t>CENTRO NACIONAL COLOMBO ALEMAN SUBSEDE MALAMBO NUEVA</t>
  </si>
  <si>
    <t>Centro Industrial y de Aviación  sede hangar</t>
  </si>
  <si>
    <t>CIUDADELA INDUSTRIAL Caribe Verde Carrera 9G - 110 - 187 BO 11</t>
  </si>
  <si>
    <t>Soledad</t>
  </si>
  <si>
    <t xml:space="preserve">Centro Industrial y de Aviación  </t>
  </si>
  <si>
    <t>Calle 30 No. 3E- 164 SUPERVISOR</t>
  </si>
  <si>
    <t xml:space="preserve">Calle 30 No. 3E- 164 </t>
  </si>
  <si>
    <t>Centro Industrial y de Aviación  Nodo Construcción e Infraestructura</t>
  </si>
  <si>
    <t>Diag. 36 No. 9G 20 Villa San Pablo</t>
  </si>
  <si>
    <t>centro de confeccion</t>
  </si>
  <si>
    <t>Centro Industrial y de AviaciónSEDE CENTRO REINDUSTRIALIZACIÓN ZASCA BARANOA-ATLÁNTICOCr 21 No 11-140,Barrio Manzanares Margaritas, Atlántico.</t>
  </si>
  <si>
    <t>Baranoa</t>
  </si>
  <si>
    <t>Nodo Mobiliario</t>
  </si>
  <si>
    <t>Galapa</t>
  </si>
  <si>
    <t>Centro de Comercio y Servicio  Nodo MULTILINGUISMO</t>
  </si>
  <si>
    <t>Carrera 21B, Calle 40B Esuina Barrio San José</t>
  </si>
  <si>
    <t>TOTAL REGIONAL</t>
  </si>
  <si>
    <t>CERTIFICADOS SENA</t>
  </si>
  <si>
    <t>VALOR POR REGIOANAL</t>
  </si>
  <si>
    <t>Bolivar</t>
  </si>
  <si>
    <t>Despacho Dirección SUPERVISOR</t>
  </si>
  <si>
    <t xml:space="preserve">Cartagena Km 1 Vía Turbaco </t>
  </si>
  <si>
    <t>Turbaco</t>
  </si>
  <si>
    <t>Centro Multisectorial Ternera</t>
  </si>
  <si>
    <t>Centro de Comercio y Servicios Sede Casa del Marquez</t>
  </si>
  <si>
    <t>Plaza de la Aduana</t>
  </si>
  <si>
    <t>Cartagena</t>
  </si>
  <si>
    <t>Centro Agroempresarial y Minero  Sede San Jacinto</t>
  </si>
  <si>
    <t>Plaza Principal</t>
  </si>
  <si>
    <t>San Jacinto</t>
  </si>
  <si>
    <t>Centro Agroempresarial y Minero Sede Mompox</t>
  </si>
  <si>
    <t>Plaza de la Libertad - Palacio Municipal</t>
  </si>
  <si>
    <t>Mompox</t>
  </si>
  <si>
    <t>Centro Internacional Náutico, Fluvial y Portuario</t>
  </si>
  <si>
    <t>Mamonal Km 5</t>
  </si>
  <si>
    <t xml:space="preserve">Centro para la Industria Petroquímica </t>
  </si>
  <si>
    <t xml:space="preserve"> calle 31,kra 49A</t>
  </si>
  <si>
    <t xml:space="preserve">Institución Educativa MANUELA BELTRAN </t>
  </si>
  <si>
    <t xml:space="preserve">I.E. Manuela Beltran CASD, Av. Pedro de Heredia </t>
  </si>
  <si>
    <t>Centro para la Industria PetroquímicaLiceo Bolivar</t>
  </si>
  <si>
    <t>Barrio Daniel Lemetre</t>
  </si>
  <si>
    <t>Centro para la Industria Petroquímica  Sede INEM</t>
  </si>
  <si>
    <t>Tranversal 54 Bario Almirante Colon</t>
  </si>
  <si>
    <t>Cesar</t>
  </si>
  <si>
    <t>Kra 19 No. 14-78</t>
  </si>
  <si>
    <t>Valledupar</t>
  </si>
  <si>
    <t>Centro de Operación y Mantenimiento Minero</t>
  </si>
  <si>
    <t>Kra 19 No. 14-79 APE</t>
  </si>
  <si>
    <t>Centro de Operación y Mantenimiento Minero Tecnoparque</t>
  </si>
  <si>
    <t>Centro de Emprendimiento y Cultural de Valledupar- Calle 39 No. 5 A- 170 Barrio Panamá</t>
  </si>
  <si>
    <t>Diagonal 4 Transversal 6 Esquina</t>
  </si>
  <si>
    <t>La Jagua de Ibirico</t>
  </si>
  <si>
    <t>sede nueva</t>
  </si>
  <si>
    <t>Carrera 14A No. 20-04</t>
  </si>
  <si>
    <t>Bosconia</t>
  </si>
  <si>
    <t>Diagonal 18 A Entre Calle 30 y 31 (Barrio Fundadores - Sabanas del Valle) SUBSEDE CENTRO DE DESARROLLO VECINAL - CDV</t>
  </si>
  <si>
    <t>Centro Biotecnológico del Caribe</t>
  </si>
  <si>
    <t>Km. 7 Vía a La Paz  SUPERVISOR</t>
  </si>
  <si>
    <t>Km. 7 Vía a La Paz</t>
  </si>
  <si>
    <t xml:space="preserve">Centro Biotecnológico del Caribe </t>
  </si>
  <si>
    <t>Plantel Educativo “AGUSTIN CODAZZI (Tecnoacademia)</t>
  </si>
  <si>
    <t>Agustin Codazzi</t>
  </si>
  <si>
    <t>Barrio El Senado.</t>
  </si>
  <si>
    <t>Chiriguana</t>
  </si>
  <si>
    <t>Sector Chambacú, barrio Villa esther</t>
  </si>
  <si>
    <t>Chimichagua</t>
  </si>
  <si>
    <t>ETNICO Carrera 42 Diagonal 11a avenida 
Brisas de la Popa, Valledupar Cesar</t>
  </si>
  <si>
    <t xml:space="preserve">Centro Agroempresarial </t>
  </si>
  <si>
    <t>Calle 4 No. 20-33 Barrio Camilo Torres.</t>
  </si>
  <si>
    <t>Curumaní</t>
  </si>
  <si>
    <t>Calle 2B No.16-26.</t>
  </si>
  <si>
    <t>San Alberto</t>
  </si>
  <si>
    <t>Centro Agroempresarial</t>
  </si>
  <si>
    <t>Kilómetro 1 Vía Bucaramanga</t>
  </si>
  <si>
    <t>Aguachica</t>
  </si>
  <si>
    <t>Cordoba</t>
  </si>
  <si>
    <t>Avenida circunvalar calle 24 y 27</t>
  </si>
  <si>
    <t>Montería</t>
  </si>
  <si>
    <t>Centro de Comercio, Industria y Turismo de Córdoba</t>
  </si>
  <si>
    <t xml:space="preserve">Carrera 9 No. 1-35 Antigua Planta de Hielo. </t>
  </si>
  <si>
    <t>Lorica</t>
  </si>
  <si>
    <t>Sub sede San Jorge</t>
  </si>
  <si>
    <t>Montelibano</t>
  </si>
  <si>
    <t>Centro Agropecuario y de Biotecnología el Porvenir</t>
  </si>
  <si>
    <t>k. 45 corregimiento Santa Isabel vía Tierralta</t>
  </si>
  <si>
    <t xml:space="preserve">Centro Agropecuario y de Biotecnología el Porvenir </t>
  </si>
  <si>
    <t>Kilómetro 11 Vía Montería Cereté frente al aeropuerto Los Garzones Sede la Vitrina</t>
  </si>
  <si>
    <t>Guajira</t>
  </si>
  <si>
    <t>Despacho Direccion SUPERVISOR</t>
  </si>
  <si>
    <t>Avenida Aeropuerto Calle 21 esquina</t>
  </si>
  <si>
    <t>Riohacha</t>
  </si>
  <si>
    <t xml:space="preserve">Centro Industrial y de Energias Alternativas </t>
  </si>
  <si>
    <t>Calle 21 Carrera 15 Avenida al Aeropuerto  Sede Comercioy Servicios</t>
  </si>
  <si>
    <t>Centro Industrial y de Energias Alternativas</t>
  </si>
  <si>
    <t>Calle 15 No 21-70  Sede Centro Medico</t>
  </si>
  <si>
    <t>Calle 16 No. 44 - 46 Troncal del caribe  Sede Maicao</t>
  </si>
  <si>
    <t>Maicao</t>
  </si>
  <si>
    <t>Kilómetro 5 Salida a Maicao Sede Industrial</t>
  </si>
  <si>
    <t>Cra 7 # 20-15  Sede Archivo</t>
  </si>
  <si>
    <t>cra 44 # 14h - 29 Sede Campoalegre</t>
  </si>
  <si>
    <t>calle 12b # 21-65 barrio marbella  Sede Cocina</t>
  </si>
  <si>
    <t xml:space="preserve">Centro Agroempresarial y Acuícola </t>
  </si>
  <si>
    <t>Km  0,8 via Barrrancas  SUPERVISOR</t>
  </si>
  <si>
    <t>Fonseca</t>
  </si>
  <si>
    <t>Km  0,8 via Barrrancas</t>
  </si>
  <si>
    <t>Centro Agroempresarial y Acuícola</t>
  </si>
  <si>
    <t>Antígüo Colegio Julia Sierra Iguarán, Barrio Abuchaibe</t>
  </si>
  <si>
    <t>Uribia</t>
  </si>
  <si>
    <t>CREM Villanueva, Carrera 13 No. 11 - 42, Barrio las Delicias</t>
  </si>
  <si>
    <t>Villanueva</t>
  </si>
  <si>
    <t>Magdalena</t>
  </si>
  <si>
    <t>Calle 29 # 13 - 127 Barrio Bavaria</t>
  </si>
  <si>
    <t>Santa Marta</t>
  </si>
  <si>
    <t>Avenida Ferrocarril # 27-97 (APE)</t>
  </si>
  <si>
    <t>Avenida Ferrocarril # 28-54 (BODEGA)</t>
  </si>
  <si>
    <t>Centro de Logística y Promoción Ecoturistica del Magdalena</t>
  </si>
  <si>
    <t>Avenida Ferrocarril  27-97</t>
  </si>
  <si>
    <t>Calle 8 No.7-06.</t>
  </si>
  <si>
    <t>Cienaga</t>
  </si>
  <si>
    <t xml:space="preserve">Centro de Logística y Promoción Ecoturistica del Magdalena </t>
  </si>
  <si>
    <t>Cra 16 No 32-20 SEDE IPC</t>
  </si>
  <si>
    <t>Avenida Ferrocarril  27-97 Barrio La Paz/ Centro Comunitario Ambiental</t>
  </si>
  <si>
    <t>CALLE 2 N 13A-02</t>
  </si>
  <si>
    <t>Plato</t>
  </si>
  <si>
    <t>Centro Acuícola y Agroindustrial de Gaira</t>
  </si>
  <si>
    <t>Kilometro 5 carretera a Gaira</t>
  </si>
  <si>
    <t xml:space="preserve">Centro Acuícola y Agroindustrial </t>
  </si>
  <si>
    <t>Calle 3 Carrera 4A Esquina Antiguo Hotel Chimila.</t>
  </si>
  <si>
    <t>Fundación</t>
  </si>
  <si>
    <t>CARRERA 5 N-2-27</t>
  </si>
  <si>
    <t>Banco</t>
  </si>
  <si>
    <t>San Andres</t>
  </si>
  <si>
    <t>Centro de Formación Turística, gente de Mar y de Servicios</t>
  </si>
  <si>
    <t>Sede Principal   SUPERVISOR</t>
  </si>
  <si>
    <t>San Andrés</t>
  </si>
  <si>
    <t>Sede Principal</t>
  </si>
  <si>
    <t>Avenida Francisco Newball (Terrenos) granja experimental</t>
  </si>
  <si>
    <t>Avenida Providencia 1A - 48 Edificio Leda Locales 201, 202, 203. Sub sede Bilinguismo</t>
  </si>
  <si>
    <t>Sede San Luis taller de confecciones  San Luis</t>
  </si>
  <si>
    <t>Edificio el Carmelo</t>
  </si>
  <si>
    <t>Al Lado de la Escuela Santa Teresita Old Town</t>
  </si>
  <si>
    <t>Providencia</t>
  </si>
  <si>
    <t>Sucre</t>
  </si>
  <si>
    <t xml:space="preserve">CENTRO DE LA INNOVACIÓN, LA TECNOLOGÍA Y LOS SERVICIOS </t>
  </si>
  <si>
    <t>Kilómetro 5 Vía Sampués Sede LA GALLERA</t>
  </si>
  <si>
    <t>Sincelejo</t>
  </si>
  <si>
    <t xml:space="preserve">CENTRO DE LA INNOVACIÓN, LA TECNOLOGÍA Y LOS SERVICIO </t>
  </si>
  <si>
    <t>cll 25 b No 31-260  SUPERVISOR Sede Boston</t>
  </si>
  <si>
    <t>cll 25 b No 31-260 Sede Boston</t>
  </si>
  <si>
    <t>calle 32 # 28-161 bodega almacen Sede Boston // NO HAY SERVICIOS</t>
  </si>
  <si>
    <t>sincelejo</t>
  </si>
  <si>
    <t>Avenida 1ra calle 20 esquina.  Sede de gastronomia</t>
  </si>
  <si>
    <t>Tolu</t>
  </si>
  <si>
    <t>CENTRO DE LA INNOVACIÓN, LA TECNOLOGÍA Y LOS SERVICIO</t>
  </si>
  <si>
    <t>Corregimiento el Palomar</t>
  </si>
  <si>
    <t>majagual</t>
  </si>
  <si>
    <t>CENTRO DE LA INNOVACIÓN, LA TECNOLOGÍA Y LOS SERVICIOS</t>
  </si>
  <si>
    <t xml:space="preserve">Carrera 26 Nro 26-11 barrio San Jose. </t>
  </si>
  <si>
    <t>Corozal</t>
  </si>
  <si>
    <t>VALOR POR REGIONAL</t>
  </si>
  <si>
    <t>TOTAL ZONA 1</t>
  </si>
  <si>
    <t>SUB TOTAL</t>
  </si>
  <si>
    <t>IVA TOTAL</t>
  </si>
  <si>
    <t>TOTAL FACTURACION ZONA 5</t>
  </si>
  <si>
    <t>PUESTOS ADICIONALES</t>
  </si>
  <si>
    <t>MAGANGUE</t>
  </si>
  <si>
    <t>TOTAL PUESTOS ADICIONALES</t>
  </si>
  <si>
    <t>VALOR PUESTOS ADICIONALES</t>
  </si>
  <si>
    <t>VALOR TOTAL ZONA 1</t>
  </si>
  <si>
    <t>**PARA LA REGIONAL SAN ANDRÉS NO SE COBRA IVA**</t>
  </si>
  <si>
    <t>TOTAL COSTO MENSUAL MEDIOS HUMANOS</t>
  </si>
  <si>
    <t>TOTAL COSTO MENSUAL MEDIOS TECNOLÓGICOS</t>
  </si>
  <si>
    <t>TOTAL COSTO 14 DÍAS MEDIOS HUMANOS</t>
  </si>
  <si>
    <t>TOTAL COSTO 16 DÍAS MEDIOS HUMANOS</t>
  </si>
  <si>
    <t>TOTAL COSTO AGOSTO A DICIEMBRE MEDIOS HUMANOS</t>
  </si>
  <si>
    <t>TOTAL COSTO AGOSTO A DICIEMBRE MEDIOS TECNOLÓGICOS</t>
  </si>
  <si>
    <t>ABRIL</t>
  </si>
  <si>
    <t>MAYO</t>
  </si>
  <si>
    <t>JUNIO</t>
  </si>
  <si>
    <t>JULIO 1-14</t>
  </si>
  <si>
    <t>JULIO 15-31</t>
  </si>
  <si>
    <t>AGOSTO</t>
  </si>
  <si>
    <t>SEPTIEMBRE</t>
  </si>
  <si>
    <t>OCTUBRE</t>
  </si>
  <si>
    <t>NOVIEMBRE</t>
  </si>
  <si>
    <t>DICIEMBRE</t>
  </si>
  <si>
    <t>TOTAL COSTO ABRIL A JUNIO MEDIOS HUMANOS</t>
  </si>
  <si>
    <t>TOTAL COSTO ABRIL A JUNIO MEDIOS TECNOLÓGICOS</t>
  </si>
  <si>
    <t>MEDIOS HUMANOS</t>
  </si>
  <si>
    <t>MEDIOS TECNOLÓGICOS</t>
  </si>
  <si>
    <t>MES</t>
  </si>
  <si>
    <t>TOTALES</t>
  </si>
  <si>
    <t>TOTAL MEDIOS HUMANOS Y TECNOLÓGICOS</t>
  </si>
  <si>
    <t>RUBRO ASIGANDO</t>
  </si>
  <si>
    <t>DIFERENCIA</t>
  </si>
  <si>
    <t>PUESTO 16 HORAS (INCLUYE 11 HORAS NOCTURNAS) TODOS LOS DÍAS SIN ARMA</t>
  </si>
  <si>
    <t>PUESTO 16 HORAS (INCLUYE 3 HORA NOCTURNA) TODOS LOS DÍAS SIN ARMA</t>
  </si>
  <si>
    <t>PUESTO 16 HORAS (INCLUYE 3 HORA NOCTURNA) LUNES A VIERNES NO INCLUYE FESTIVOS SIN ARMA</t>
  </si>
  <si>
    <r>
      <t xml:space="preserve">PUESTO 16 HORAS (INCLUYE 3 HORA NOCTURNA) </t>
    </r>
    <r>
      <rPr>
        <b/>
        <u/>
        <sz val="9"/>
        <rFont val="Arial Narrow"/>
        <family val="2"/>
      </rPr>
      <t>LUNES A SÁBADO</t>
    </r>
    <r>
      <rPr>
        <b/>
        <sz val="9"/>
        <rFont val="Arial Narrow"/>
        <family val="2"/>
      </rPr>
      <t xml:space="preserve"> NO INCLUYE FESTIVOS SIN ARMA</t>
    </r>
  </si>
  <si>
    <t>PUESTO 12 HORAS (INCLUYE 11 HORAS NOCTURNAS) TODOS LOS DIAS SIN ARMA</t>
  </si>
  <si>
    <t>PUESTO 12 HORAS (INCLUYE 11 HORAS NOCTURNAS) LUNES A SABADO  SIN ARMA</t>
  </si>
  <si>
    <t>TOTAL FACTURACION ZONA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</si>
</sst>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* #,##0_);_(* \(#,##0\);_(* &quot;-&quot;??_);_(@_)"/>
    <numFmt numFmtId="166" formatCode="_-&quot;$&quot;* #,##0_-;\-&quot;$&quot;* #,##0_-;_-&quot;$&quot;* &quot;-&quot;_-;_-@_-"/>
    <numFmt numFmtId="167" formatCode="&quot;$&quot;\ #,##0.00"/>
    <numFmt numFmtId="168" formatCode="_-&quot;$&quot;\ * #,##0_-;\-&quot;$&quot;\ * #,##0_-;_-&quot;$&quot;\ * &quot;-&quot;??_-;_-@_-"/>
    <numFmt numFmtId="169" formatCode="0.0000"/>
  </numFmts>
  <fonts count="3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rial Narrow"/>
      <family val="2"/>
    </font>
    <font>
      <sz val="10"/>
      <color theme="1"/>
      <name val="Arial Narrow"/>
      <family val="2"/>
    </font>
    <font>
      <sz val="11"/>
      <name val="Aptos Narrow"/>
      <family val="2"/>
      <scheme val="minor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b/>
      <sz val="9"/>
      <color rgb="FFFF0000"/>
      <name val="Arial Narrow"/>
      <family val="2"/>
    </font>
    <font>
      <b/>
      <u/>
      <sz val="9"/>
      <name val="Arial Narrow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9"/>
      <color theme="1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sz val="9"/>
      <color rgb="FFFF0000"/>
      <name val="Arial Narrow"/>
      <family val="2"/>
    </font>
    <font>
      <sz val="10"/>
      <name val="Arial Narrow"/>
      <family val="2"/>
    </font>
    <font>
      <sz val="9"/>
      <color rgb="FF000000"/>
      <name val="Arial Narrow"/>
      <family val="2"/>
    </font>
    <font>
      <b/>
      <sz val="9"/>
      <color theme="1"/>
      <name val="Arial Narrow"/>
      <family val="2"/>
    </font>
    <font>
      <b/>
      <sz val="11"/>
      <name val="Aptos Narrow"/>
      <family val="2"/>
      <scheme val="minor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rgb="FFFF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00B050"/>
      <name val="Aptos Narrow"/>
      <family val="2"/>
      <scheme val="minor"/>
    </font>
    <font>
      <sz val="8"/>
      <name val="Aptos Narrow"/>
      <family val="2"/>
      <scheme val="minor"/>
    </font>
    <font>
      <sz val="8"/>
      <name val="Arial Narrow"/>
      <family val="2"/>
    </font>
    <font>
      <b/>
      <sz val="8"/>
      <name val="Aptos Narrow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166" fontId="1" fillId="0" borderId="0" applyFont="0" applyFill="0" applyBorder="0" applyAlignment="0" applyProtection="0"/>
  </cellStyleXfs>
  <cellXfs count="229">
    <xf numFmtId="0" fontId="0" fillId="0" borderId="0" xfId="0"/>
    <xf numFmtId="164" fontId="5" fillId="2" borderId="1" xfId="3" applyNumberFormat="1" applyFont="1" applyFill="1" applyBorder="1" applyAlignment="1">
      <alignment horizontal="center" vertical="center"/>
    </xf>
    <xf numFmtId="164" fontId="5" fillId="2" borderId="2" xfId="3" applyNumberFormat="1" applyFont="1" applyFill="1" applyBorder="1" applyAlignment="1">
      <alignment horizontal="center" vertical="center"/>
    </xf>
    <xf numFmtId="0" fontId="6" fillId="3" borderId="0" xfId="0" applyFont="1" applyFill="1"/>
    <xf numFmtId="164" fontId="5" fillId="2" borderId="4" xfId="3" applyNumberFormat="1" applyFont="1" applyFill="1" applyBorder="1" applyAlignment="1">
      <alignment horizontal="center" vertical="center"/>
    </xf>
    <xf numFmtId="164" fontId="5" fillId="2" borderId="5" xfId="3" applyNumberFormat="1" applyFont="1" applyFill="1" applyBorder="1" applyAlignment="1">
      <alignment horizontal="center" vertical="center"/>
    </xf>
    <xf numFmtId="164" fontId="5" fillId="2" borderId="7" xfId="3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1" fontId="8" fillId="4" borderId="12" xfId="1" applyNumberFormat="1" applyFont="1" applyFill="1" applyBorder="1" applyAlignment="1">
      <alignment horizontal="center" vertical="center" wrapText="1"/>
    </xf>
    <xf numFmtId="1" fontId="8" fillId="4" borderId="9" xfId="1" applyNumberFormat="1" applyFont="1" applyFill="1" applyBorder="1" applyAlignment="1">
      <alignment horizontal="center" vertical="center" wrapText="1"/>
    </xf>
    <xf numFmtId="1" fontId="9" fillId="4" borderId="9" xfId="1" applyNumberFormat="1" applyFont="1" applyFill="1" applyBorder="1" applyAlignment="1">
      <alignment horizontal="center" vertical="center" wrapText="1"/>
    </xf>
    <xf numFmtId="1" fontId="8" fillId="4" borderId="13" xfId="1" applyNumberFormat="1" applyFont="1" applyFill="1" applyBorder="1" applyAlignment="1">
      <alignment horizontal="center" vertical="center" wrapText="1"/>
    </xf>
    <xf numFmtId="1" fontId="9" fillId="4" borderId="14" xfId="1" applyNumberFormat="1" applyFont="1" applyFill="1" applyBorder="1" applyAlignment="1">
      <alignment horizontal="center" vertical="center" wrapText="1"/>
    </xf>
    <xf numFmtId="1" fontId="7" fillId="4" borderId="11" xfId="0" applyNumberFormat="1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vertical="center" wrapText="1"/>
    </xf>
    <xf numFmtId="0" fontId="15" fillId="6" borderId="18" xfId="4" applyFont="1" applyFill="1" applyBorder="1" applyAlignment="1">
      <alignment horizontal="left" vertical="center" wrapText="1"/>
    </xf>
    <xf numFmtId="0" fontId="15" fillId="5" borderId="18" xfId="4" applyFont="1" applyFill="1" applyBorder="1" applyAlignment="1">
      <alignment horizontal="left" vertical="center" wrapText="1"/>
    </xf>
    <xf numFmtId="1" fontId="13" fillId="5" borderId="18" xfId="0" applyNumberFormat="1" applyFont="1" applyFill="1" applyBorder="1" applyAlignment="1">
      <alignment horizontal="center" vertical="center" wrapText="1"/>
    </xf>
    <xf numFmtId="1" fontId="16" fillId="5" borderId="18" xfId="0" applyNumberFormat="1" applyFont="1" applyFill="1" applyBorder="1" applyAlignment="1">
      <alignment horizontal="center" vertical="center" wrapText="1"/>
    </xf>
    <xf numFmtId="1" fontId="16" fillId="5" borderId="19" xfId="0" applyNumberFormat="1" applyFont="1" applyFill="1" applyBorder="1" applyAlignment="1">
      <alignment horizontal="center" vertical="center" wrapText="1"/>
    </xf>
    <xf numFmtId="165" fontId="5" fillId="5" borderId="2" xfId="1" applyNumberFormat="1" applyFont="1" applyFill="1" applyBorder="1" applyAlignment="1">
      <alignment horizontal="center" vertical="center" wrapText="1"/>
    </xf>
    <xf numFmtId="165" fontId="5" fillId="5" borderId="20" xfId="1" applyNumberFormat="1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vertical="center" wrapText="1"/>
    </xf>
    <xf numFmtId="0" fontId="15" fillId="6" borderId="2" xfId="4" applyFont="1" applyFill="1" applyBorder="1" applyAlignment="1">
      <alignment horizontal="left" vertical="center" wrapText="1"/>
    </xf>
    <xf numFmtId="0" fontId="15" fillId="5" borderId="2" xfId="4" applyFont="1" applyFill="1" applyBorder="1" applyAlignment="1">
      <alignment horizontal="left" vertical="center" wrapText="1"/>
    </xf>
    <xf numFmtId="1" fontId="13" fillId="5" borderId="2" xfId="0" applyNumberFormat="1" applyFont="1" applyFill="1" applyBorder="1" applyAlignment="1">
      <alignment horizontal="center" vertical="center" wrapText="1"/>
    </xf>
    <xf numFmtId="1" fontId="16" fillId="5" borderId="2" xfId="0" applyNumberFormat="1" applyFont="1" applyFill="1" applyBorder="1" applyAlignment="1">
      <alignment horizontal="center" vertical="center" wrapText="1"/>
    </xf>
    <xf numFmtId="1" fontId="16" fillId="5" borderId="3" xfId="0" applyNumberFormat="1" applyFont="1" applyFill="1" applyBorder="1" applyAlignment="1">
      <alignment horizontal="center" vertical="center" wrapText="1"/>
    </xf>
    <xf numFmtId="0" fontId="15" fillId="6" borderId="2" xfId="4" applyFont="1" applyFill="1" applyBorder="1" applyAlignment="1">
      <alignment vertical="center" wrapText="1"/>
    </xf>
    <xf numFmtId="165" fontId="17" fillId="5" borderId="2" xfId="1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5" fillId="5" borderId="2" xfId="0" applyFont="1" applyFill="1" applyBorder="1" applyAlignment="1">
      <alignment horizontal="left" vertical="center" wrapText="1"/>
    </xf>
    <xf numFmtId="166" fontId="6" fillId="3" borderId="0" xfId="0" applyNumberFormat="1" applyFont="1" applyFill="1"/>
    <xf numFmtId="1" fontId="13" fillId="7" borderId="16" xfId="0" applyNumberFormat="1" applyFont="1" applyFill="1" applyBorder="1" applyAlignment="1">
      <alignment horizontal="center" vertical="center" wrapText="1"/>
    </xf>
    <xf numFmtId="1" fontId="13" fillId="7" borderId="13" xfId="0" applyNumberFormat="1" applyFont="1" applyFill="1" applyBorder="1" applyAlignment="1">
      <alignment horizontal="center" vertical="center" wrapText="1"/>
    </xf>
    <xf numFmtId="1" fontId="16" fillId="7" borderId="13" xfId="0" applyNumberFormat="1" applyFont="1" applyFill="1" applyBorder="1" applyAlignment="1">
      <alignment horizontal="center" vertical="center" wrapText="1"/>
    </xf>
    <xf numFmtId="1" fontId="16" fillId="7" borderId="24" xfId="0" applyNumberFormat="1" applyFont="1" applyFill="1" applyBorder="1" applyAlignment="1">
      <alignment horizontal="center" vertical="center" wrapText="1"/>
    </xf>
    <xf numFmtId="1" fontId="6" fillId="3" borderId="0" xfId="0" applyNumberFormat="1" applyFont="1" applyFill="1"/>
    <xf numFmtId="1" fontId="19" fillId="7" borderId="17" xfId="0" applyNumberFormat="1" applyFont="1" applyFill="1" applyBorder="1" applyAlignment="1">
      <alignment horizontal="center" vertical="center" wrapText="1"/>
    </xf>
    <xf numFmtId="0" fontId="13" fillId="8" borderId="21" xfId="0" applyFont="1" applyFill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center" vertical="center" wrapText="1"/>
    </xf>
    <xf numFmtId="1" fontId="13" fillId="8" borderId="12" xfId="0" applyNumberFormat="1" applyFont="1" applyFill="1" applyBorder="1" applyAlignment="1">
      <alignment horizontal="center" vertical="center" wrapText="1"/>
    </xf>
    <xf numFmtId="1" fontId="16" fillId="8" borderId="12" xfId="0" applyNumberFormat="1" applyFont="1" applyFill="1" applyBorder="1" applyAlignment="1">
      <alignment horizontal="center" vertical="center" wrapText="1"/>
    </xf>
    <xf numFmtId="1" fontId="16" fillId="8" borderId="25" xfId="0" applyNumberFormat="1" applyFont="1" applyFill="1" applyBorder="1" applyAlignment="1">
      <alignment horizontal="center" vertical="center" wrapText="1"/>
    </xf>
    <xf numFmtId="1" fontId="6" fillId="8" borderId="0" xfId="0" applyNumberFormat="1" applyFont="1" applyFill="1"/>
    <xf numFmtId="1" fontId="13" fillId="8" borderId="15" xfId="0" applyNumberFormat="1" applyFont="1" applyFill="1" applyBorder="1" applyAlignment="1">
      <alignment horizontal="center" vertical="center" wrapText="1"/>
    </xf>
    <xf numFmtId="44" fontId="0" fillId="0" borderId="0" xfId="2" applyFont="1"/>
    <xf numFmtId="166" fontId="6" fillId="8" borderId="0" xfId="5" applyFont="1" applyFill="1"/>
    <xf numFmtId="166" fontId="13" fillId="7" borderId="12" xfId="5" applyFont="1" applyFill="1" applyBorder="1" applyAlignment="1">
      <alignment horizontal="center" vertical="center" wrapText="1"/>
    </xf>
    <xf numFmtId="166" fontId="16" fillId="7" borderId="12" xfId="5" applyFont="1" applyFill="1" applyBorder="1" applyAlignment="1">
      <alignment horizontal="center" vertical="center" wrapText="1"/>
    </xf>
    <xf numFmtId="166" fontId="16" fillId="7" borderId="25" xfId="5" applyFont="1" applyFill="1" applyBorder="1" applyAlignment="1">
      <alignment horizontal="center" vertical="center" wrapText="1"/>
    </xf>
    <xf numFmtId="166" fontId="6" fillId="3" borderId="0" xfId="5" applyFont="1" applyFill="1"/>
    <xf numFmtId="166" fontId="19" fillId="7" borderId="15" xfId="5" applyFont="1" applyFill="1" applyBorder="1" applyAlignment="1">
      <alignment horizontal="center" vertical="center" wrapText="1"/>
    </xf>
    <xf numFmtId="166" fontId="0" fillId="0" borderId="0" xfId="5" applyFont="1" applyFill="1"/>
    <xf numFmtId="44" fontId="0" fillId="0" borderId="0" xfId="2" applyFont="1" applyFill="1"/>
    <xf numFmtId="165" fontId="5" fillId="9" borderId="2" xfId="1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vertical="center" wrapText="1"/>
    </xf>
    <xf numFmtId="0" fontId="15" fillId="6" borderId="26" xfId="4" applyFont="1" applyFill="1" applyBorder="1" applyAlignment="1">
      <alignment horizontal="left" vertical="center" wrapText="1"/>
    </xf>
    <xf numFmtId="0" fontId="15" fillId="5" borderId="26" xfId="4" applyFont="1" applyFill="1" applyBorder="1" applyAlignment="1">
      <alignment horizontal="left" vertical="center" wrapText="1"/>
    </xf>
    <xf numFmtId="1" fontId="13" fillId="5" borderId="27" xfId="0" applyNumberFormat="1" applyFont="1" applyFill="1" applyBorder="1" applyAlignment="1">
      <alignment horizontal="center" vertical="center" wrapText="1"/>
    </xf>
    <xf numFmtId="1" fontId="16" fillId="5" borderId="27" xfId="0" applyNumberFormat="1" applyFont="1" applyFill="1" applyBorder="1" applyAlignment="1">
      <alignment horizontal="center" vertical="center" wrapText="1"/>
    </xf>
    <xf numFmtId="1" fontId="16" fillId="5" borderId="28" xfId="0" applyNumberFormat="1" applyFont="1" applyFill="1" applyBorder="1" applyAlignment="1">
      <alignment horizontal="center" vertical="center" wrapText="1"/>
    </xf>
    <xf numFmtId="0" fontId="19" fillId="8" borderId="21" xfId="0" applyFont="1" applyFill="1" applyBorder="1" applyAlignment="1">
      <alignment horizontal="center" vertical="center" wrapText="1"/>
    </xf>
    <xf numFmtId="0" fontId="19" fillId="8" borderId="22" xfId="0" applyFont="1" applyFill="1" applyBorder="1" applyAlignment="1">
      <alignment horizontal="center" vertical="center" wrapText="1"/>
    </xf>
    <xf numFmtId="1" fontId="19" fillId="8" borderId="12" xfId="0" applyNumberFormat="1" applyFont="1" applyFill="1" applyBorder="1" applyAlignment="1">
      <alignment horizontal="center" vertical="center" wrapText="1"/>
    </xf>
    <xf numFmtId="1" fontId="9" fillId="8" borderId="12" xfId="0" applyNumberFormat="1" applyFont="1" applyFill="1" applyBorder="1" applyAlignment="1">
      <alignment horizontal="center" vertical="center" wrapText="1"/>
    </xf>
    <xf numFmtId="1" fontId="9" fillId="8" borderId="25" xfId="0" applyNumberFormat="1" applyFont="1" applyFill="1" applyBorder="1" applyAlignment="1">
      <alignment horizontal="center" vertical="center" wrapText="1"/>
    </xf>
    <xf numFmtId="1" fontId="20" fillId="8" borderId="0" xfId="0" applyNumberFormat="1" applyFont="1" applyFill="1"/>
    <xf numFmtId="1" fontId="19" fillId="8" borderId="15" xfId="0" applyNumberFormat="1" applyFont="1" applyFill="1" applyBorder="1" applyAlignment="1">
      <alignment horizontal="center" vertical="center" wrapText="1"/>
    </xf>
    <xf numFmtId="0" fontId="3" fillId="0" borderId="0" xfId="0" applyFont="1"/>
    <xf numFmtId="44" fontId="3" fillId="0" borderId="0" xfId="2" applyFont="1"/>
    <xf numFmtId="166" fontId="19" fillId="7" borderId="12" xfId="5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vertical="center" wrapText="1"/>
    </xf>
    <xf numFmtId="0" fontId="13" fillId="5" borderId="29" xfId="0" applyFont="1" applyFill="1" applyBorder="1" applyAlignment="1">
      <alignment vertical="center" wrapText="1"/>
    </xf>
    <xf numFmtId="0" fontId="15" fillId="5" borderId="0" xfId="4" applyFont="1" applyFill="1" applyAlignment="1">
      <alignment horizontal="left" vertical="center" wrapText="1"/>
    </xf>
    <xf numFmtId="1" fontId="13" fillId="5" borderId="30" xfId="0" applyNumberFormat="1" applyFont="1" applyFill="1" applyBorder="1" applyAlignment="1">
      <alignment horizontal="center" vertical="center" wrapText="1"/>
    </xf>
    <xf numFmtId="1" fontId="13" fillId="5" borderId="31" xfId="0" applyNumberFormat="1" applyFont="1" applyFill="1" applyBorder="1" applyAlignment="1">
      <alignment horizontal="center" vertical="center" wrapText="1"/>
    </xf>
    <xf numFmtId="1" fontId="16" fillId="5" borderId="31" xfId="0" applyNumberFormat="1" applyFont="1" applyFill="1" applyBorder="1" applyAlignment="1">
      <alignment horizontal="center" vertical="center" wrapText="1"/>
    </xf>
    <xf numFmtId="1" fontId="16" fillId="5" borderId="9" xfId="0" applyNumberFormat="1" applyFont="1" applyFill="1" applyBorder="1" applyAlignment="1">
      <alignment horizontal="center" vertical="center" wrapText="1"/>
    </xf>
    <xf numFmtId="1" fontId="16" fillId="5" borderId="15" xfId="0" applyNumberFormat="1" applyFont="1" applyFill="1" applyBorder="1" applyAlignment="1">
      <alignment horizontal="center" vertical="center" wrapText="1"/>
    </xf>
    <xf numFmtId="165" fontId="5" fillId="5" borderId="15" xfId="1" applyNumberFormat="1" applyFont="1" applyFill="1" applyBorder="1" applyAlignment="1">
      <alignment horizontal="center" vertical="center" wrapText="1"/>
    </xf>
    <xf numFmtId="0" fontId="15" fillId="10" borderId="18" xfId="4" applyFont="1" applyFill="1" applyBorder="1" applyAlignment="1">
      <alignment horizontal="left" vertical="center" wrapText="1"/>
    </xf>
    <xf numFmtId="0" fontId="15" fillId="11" borderId="2" xfId="4" applyFont="1" applyFill="1" applyBorder="1" applyAlignment="1">
      <alignment vertical="center" wrapText="1"/>
    </xf>
    <xf numFmtId="0" fontId="15" fillId="10" borderId="2" xfId="4" applyFont="1" applyFill="1" applyBorder="1" applyAlignment="1">
      <alignment vertical="center" wrapText="1"/>
    </xf>
    <xf numFmtId="0" fontId="15" fillId="10" borderId="26" xfId="4" applyFont="1" applyFill="1" applyBorder="1" applyAlignment="1">
      <alignment vertical="center" wrapText="1"/>
    </xf>
    <xf numFmtId="0" fontId="15" fillId="12" borderId="2" xfId="4" applyFont="1" applyFill="1" applyBorder="1" applyAlignment="1">
      <alignment vertical="center" wrapText="1"/>
    </xf>
    <xf numFmtId="0" fontId="0" fillId="5" borderId="2" xfId="0" applyFill="1" applyBorder="1"/>
    <xf numFmtId="0" fontId="15" fillId="13" borderId="18" xfId="4" applyFont="1" applyFill="1" applyBorder="1" applyAlignment="1">
      <alignment horizontal="left" vertical="center" wrapText="1"/>
    </xf>
    <xf numFmtId="1" fontId="13" fillId="5" borderId="18" xfId="1" applyNumberFormat="1" applyFont="1" applyFill="1" applyBorder="1" applyAlignment="1">
      <alignment horizontal="center" vertical="center" wrapText="1"/>
    </xf>
    <xf numFmtId="1" fontId="16" fillId="5" borderId="18" xfId="1" applyNumberFormat="1" applyFont="1" applyFill="1" applyBorder="1" applyAlignment="1">
      <alignment horizontal="center" vertical="center" wrapText="1"/>
    </xf>
    <xf numFmtId="1" fontId="16" fillId="5" borderId="19" xfId="1" applyNumberFormat="1" applyFont="1" applyFill="1" applyBorder="1" applyAlignment="1">
      <alignment horizontal="center" vertical="center" wrapText="1"/>
    </xf>
    <xf numFmtId="0" fontId="15" fillId="13" borderId="2" xfId="4" applyFont="1" applyFill="1" applyBorder="1" applyAlignment="1">
      <alignment horizontal="left" vertical="center" wrapText="1"/>
    </xf>
    <xf numFmtId="1" fontId="13" fillId="5" borderId="2" xfId="1" applyNumberFormat="1" applyFont="1" applyFill="1" applyBorder="1" applyAlignment="1">
      <alignment horizontal="center" vertical="center" wrapText="1"/>
    </xf>
    <xf numFmtId="1" fontId="16" fillId="5" borderId="2" xfId="1" applyNumberFormat="1" applyFont="1" applyFill="1" applyBorder="1" applyAlignment="1">
      <alignment horizontal="center" vertical="center" wrapText="1"/>
    </xf>
    <xf numFmtId="1" fontId="16" fillId="5" borderId="3" xfId="1" applyNumberFormat="1" applyFont="1" applyFill="1" applyBorder="1" applyAlignment="1">
      <alignment horizontal="center" vertical="center" wrapText="1"/>
    </xf>
    <xf numFmtId="0" fontId="15" fillId="10" borderId="2" xfId="4" applyFont="1" applyFill="1" applyBorder="1" applyAlignment="1">
      <alignment horizontal="left" vertical="center" wrapText="1"/>
    </xf>
    <xf numFmtId="1" fontId="15" fillId="5" borderId="2" xfId="1" applyNumberFormat="1" applyFont="1" applyFill="1" applyBorder="1" applyAlignment="1">
      <alignment horizontal="center" vertical="center" wrapText="1"/>
    </xf>
    <xf numFmtId="1" fontId="13" fillId="0" borderId="2" xfId="1" applyNumberFormat="1" applyFont="1" applyFill="1" applyBorder="1" applyAlignment="1">
      <alignment horizontal="center" vertical="center" wrapText="1"/>
    </xf>
    <xf numFmtId="1" fontId="16" fillId="0" borderId="2" xfId="1" applyNumberFormat="1" applyFont="1" applyFill="1" applyBorder="1" applyAlignment="1">
      <alignment horizontal="center" vertical="center" wrapText="1"/>
    </xf>
    <xf numFmtId="1" fontId="16" fillId="0" borderId="18" xfId="0" applyNumberFormat="1" applyFont="1" applyBorder="1" applyAlignment="1">
      <alignment horizontal="center" vertical="center" wrapText="1"/>
    </xf>
    <xf numFmtId="1" fontId="16" fillId="0" borderId="3" xfId="1" applyNumberFormat="1" applyFont="1" applyFill="1" applyBorder="1" applyAlignment="1">
      <alignment horizontal="center" vertical="center" wrapText="1"/>
    </xf>
    <xf numFmtId="165" fontId="5" fillId="0" borderId="2" xfId="1" applyNumberFormat="1" applyFont="1" applyFill="1" applyBorder="1" applyAlignment="1">
      <alignment horizontal="center" vertical="center" wrapText="1"/>
    </xf>
    <xf numFmtId="1" fontId="13" fillId="9" borderId="2" xfId="1" applyNumberFormat="1" applyFont="1" applyFill="1" applyBorder="1" applyAlignment="1">
      <alignment horizontal="center" vertical="center" wrapText="1"/>
    </xf>
    <xf numFmtId="1" fontId="15" fillId="9" borderId="2" xfId="1" applyNumberFormat="1" applyFont="1" applyFill="1" applyBorder="1" applyAlignment="1">
      <alignment horizontal="center" vertical="center" wrapText="1"/>
    </xf>
    <xf numFmtId="1" fontId="16" fillId="9" borderId="2" xfId="1" applyNumberFormat="1" applyFont="1" applyFill="1" applyBorder="1" applyAlignment="1">
      <alignment horizontal="center" vertical="center" wrapText="1"/>
    </xf>
    <xf numFmtId="1" fontId="16" fillId="9" borderId="18" xfId="0" applyNumberFormat="1" applyFont="1" applyFill="1" applyBorder="1" applyAlignment="1">
      <alignment horizontal="center" vertical="center" wrapText="1"/>
    </xf>
    <xf numFmtId="1" fontId="16" fillId="9" borderId="3" xfId="1" applyNumberFormat="1" applyFont="1" applyFill="1" applyBorder="1" applyAlignment="1">
      <alignment horizontal="center" vertical="center" wrapText="1"/>
    </xf>
    <xf numFmtId="165" fontId="17" fillId="9" borderId="2" xfId="1" applyNumberFormat="1" applyFont="1" applyFill="1" applyBorder="1" applyAlignment="1">
      <alignment horizontal="center" vertical="center" wrapText="1"/>
    </xf>
    <xf numFmtId="0" fontId="15" fillId="12" borderId="2" xfId="4" applyFont="1" applyFill="1" applyBorder="1" applyAlignment="1">
      <alignment horizontal="left" vertical="center" wrapText="1"/>
    </xf>
    <xf numFmtId="0" fontId="15" fillId="12" borderId="26" xfId="4" applyFont="1" applyFill="1" applyBorder="1" applyAlignment="1">
      <alignment horizontal="left" vertical="center" wrapText="1"/>
    </xf>
    <xf numFmtId="1" fontId="13" fillId="5" borderId="27" xfId="1" applyNumberFormat="1" applyFont="1" applyFill="1" applyBorder="1" applyAlignment="1">
      <alignment horizontal="center" vertical="center" wrapText="1"/>
    </xf>
    <xf numFmtId="1" fontId="15" fillId="5" borderId="27" xfId="1" applyNumberFormat="1" applyFont="1" applyFill="1" applyBorder="1" applyAlignment="1">
      <alignment horizontal="center" vertical="center" wrapText="1"/>
    </xf>
    <xf numFmtId="1" fontId="16" fillId="5" borderId="27" xfId="1" applyNumberFormat="1" applyFont="1" applyFill="1" applyBorder="1" applyAlignment="1">
      <alignment horizontal="center" vertical="center" wrapText="1"/>
    </xf>
    <xf numFmtId="1" fontId="16" fillId="5" borderId="28" xfId="1" applyNumberFormat="1" applyFont="1" applyFill="1" applyBorder="1" applyAlignment="1">
      <alignment horizontal="center" vertical="center" wrapText="1"/>
    </xf>
    <xf numFmtId="0" fontId="13" fillId="10" borderId="18" xfId="0" applyFont="1" applyFill="1" applyBorder="1" applyAlignment="1">
      <alignment vertical="center" wrapText="1"/>
    </xf>
    <xf numFmtId="0" fontId="13" fillId="5" borderId="18" xfId="0" applyFont="1" applyFill="1" applyBorder="1" applyAlignment="1">
      <alignment vertical="center" wrapText="1"/>
    </xf>
    <xf numFmtId="0" fontId="13" fillId="10" borderId="2" xfId="0" applyFont="1" applyFill="1" applyBorder="1" applyAlignment="1">
      <alignment vertical="center" wrapText="1"/>
    </xf>
    <xf numFmtId="0" fontId="13" fillId="5" borderId="2" xfId="0" applyFont="1" applyFill="1" applyBorder="1" applyAlignment="1">
      <alignment vertical="center" wrapText="1"/>
    </xf>
    <xf numFmtId="0" fontId="13" fillId="10" borderId="26" xfId="0" applyFont="1" applyFill="1" applyBorder="1" applyAlignment="1">
      <alignment vertical="center" wrapText="1"/>
    </xf>
    <xf numFmtId="0" fontId="13" fillId="5" borderId="26" xfId="0" applyFont="1" applyFill="1" applyBorder="1" applyAlignment="1">
      <alignment vertical="center" wrapText="1"/>
    </xf>
    <xf numFmtId="166" fontId="13" fillId="7" borderId="32" xfId="5" applyFont="1" applyFill="1" applyBorder="1" applyAlignment="1">
      <alignment horizontal="center" vertical="center" wrapText="1"/>
    </xf>
    <xf numFmtId="166" fontId="16" fillId="7" borderId="32" xfId="5" applyFont="1" applyFill="1" applyBorder="1" applyAlignment="1">
      <alignment horizontal="center" vertical="center" wrapText="1"/>
    </xf>
    <xf numFmtId="166" fontId="16" fillId="7" borderId="21" xfId="5" applyFont="1" applyFill="1" applyBorder="1" applyAlignment="1">
      <alignment horizontal="center" vertical="center" wrapText="1"/>
    </xf>
    <xf numFmtId="166" fontId="19" fillId="7" borderId="32" xfId="5" applyFont="1" applyFill="1" applyBorder="1" applyAlignment="1">
      <alignment horizontal="center" vertical="center" wrapText="1"/>
    </xf>
    <xf numFmtId="1" fontId="13" fillId="5" borderId="20" xfId="0" applyNumberFormat="1" applyFont="1" applyFill="1" applyBorder="1" applyAlignment="1">
      <alignment horizontal="center" vertical="center" wrapText="1"/>
    </xf>
    <xf numFmtId="1" fontId="16" fillId="5" borderId="20" xfId="0" applyNumberFormat="1" applyFont="1" applyFill="1" applyBorder="1" applyAlignment="1">
      <alignment horizontal="center" vertical="center" wrapText="1"/>
    </xf>
    <xf numFmtId="1" fontId="16" fillId="5" borderId="33" xfId="0" applyNumberFormat="1" applyFont="1" applyFill="1" applyBorder="1" applyAlignment="1">
      <alignment horizontal="center" vertical="center" wrapText="1"/>
    </xf>
    <xf numFmtId="165" fontId="17" fillId="5" borderId="27" xfId="1" applyNumberFormat="1" applyFont="1" applyFill="1" applyBorder="1" applyAlignment="1">
      <alignment horizontal="center" vertical="center" wrapText="1"/>
    </xf>
    <xf numFmtId="1" fontId="19" fillId="7" borderId="1" xfId="0" applyNumberFormat="1" applyFont="1" applyFill="1" applyBorder="1" applyAlignment="1">
      <alignment horizontal="center" vertical="center" wrapText="1"/>
    </xf>
    <xf numFmtId="1" fontId="19" fillId="7" borderId="18" xfId="0" applyNumberFormat="1" applyFont="1" applyFill="1" applyBorder="1" applyAlignment="1">
      <alignment horizontal="center" vertical="center" wrapText="1"/>
    </xf>
    <xf numFmtId="1" fontId="19" fillId="7" borderId="34" xfId="0" applyNumberFormat="1" applyFont="1" applyFill="1" applyBorder="1" applyAlignment="1">
      <alignment horizontal="center" vertical="center" wrapText="1"/>
    </xf>
    <xf numFmtId="166" fontId="13" fillId="7" borderId="10" xfId="5" applyFont="1" applyFill="1" applyBorder="1" applyAlignment="1">
      <alignment horizontal="center" vertical="center" wrapText="1"/>
    </xf>
    <xf numFmtId="166" fontId="16" fillId="7" borderId="10" xfId="5" applyFont="1" applyFill="1" applyBorder="1" applyAlignment="1">
      <alignment horizontal="center" vertical="center" wrapText="1"/>
    </xf>
    <xf numFmtId="166" fontId="16" fillId="7" borderId="35" xfId="5" applyFont="1" applyFill="1" applyBorder="1" applyAlignment="1">
      <alignment horizontal="center" vertical="center" wrapText="1"/>
    </xf>
    <xf numFmtId="166" fontId="19" fillId="7" borderId="36" xfId="5" applyFont="1" applyFill="1" applyBorder="1" applyAlignment="1">
      <alignment horizontal="center" vertical="center" wrapText="1"/>
    </xf>
    <xf numFmtId="166" fontId="19" fillId="7" borderId="27" xfId="5" applyFont="1" applyFill="1" applyBorder="1" applyAlignment="1">
      <alignment horizontal="center" vertical="center" wrapText="1"/>
    </xf>
    <xf numFmtId="166" fontId="19" fillId="7" borderId="37" xfId="5" applyFont="1" applyFill="1" applyBorder="1" applyAlignment="1">
      <alignment horizontal="center" vertical="center" wrapText="1"/>
    </xf>
    <xf numFmtId="1" fontId="21" fillId="14" borderId="18" xfId="0" applyNumberFormat="1" applyFont="1" applyFill="1" applyBorder="1" applyAlignment="1">
      <alignment horizontal="center" vertical="center" wrapText="1"/>
    </xf>
    <xf numFmtId="1" fontId="22" fillId="14" borderId="18" xfId="0" applyNumberFormat="1" applyFont="1" applyFill="1" applyBorder="1" applyAlignment="1">
      <alignment horizontal="center" vertical="center" wrapText="1"/>
    </xf>
    <xf numFmtId="1" fontId="22" fillId="14" borderId="19" xfId="0" applyNumberFormat="1" applyFont="1" applyFill="1" applyBorder="1" applyAlignment="1">
      <alignment horizontal="center" vertical="center" wrapText="1"/>
    </xf>
    <xf numFmtId="1" fontId="20" fillId="3" borderId="38" xfId="0" applyNumberFormat="1" applyFont="1" applyFill="1" applyBorder="1"/>
    <xf numFmtId="1" fontId="21" fillId="14" borderId="34" xfId="0" applyNumberFormat="1" applyFont="1" applyFill="1" applyBorder="1" applyAlignment="1">
      <alignment horizontal="center" vertical="center" wrapText="1"/>
    </xf>
    <xf numFmtId="164" fontId="3" fillId="15" borderId="2" xfId="0" applyNumberFormat="1" applyFont="1" applyFill="1" applyBorder="1"/>
    <xf numFmtId="164" fontId="20" fillId="3" borderId="2" xfId="0" applyNumberFormat="1" applyFont="1" applyFill="1" applyBorder="1"/>
    <xf numFmtId="164" fontId="20" fillId="3" borderId="0" xfId="0" applyNumberFormat="1" applyFont="1" applyFill="1"/>
    <xf numFmtId="164" fontId="3" fillId="12" borderId="2" xfId="0" applyNumberFormat="1" applyFont="1" applyFill="1" applyBorder="1"/>
    <xf numFmtId="164" fontId="3" fillId="16" borderId="2" xfId="0" applyNumberFormat="1" applyFont="1" applyFill="1" applyBorder="1"/>
    <xf numFmtId="164" fontId="20" fillId="3" borderId="39" xfId="0" applyNumberFormat="1" applyFont="1" applyFill="1" applyBorder="1"/>
    <xf numFmtId="0" fontId="19" fillId="0" borderId="0" xfId="0" applyFont="1" applyAlignment="1">
      <alignment horizontal="center" vertical="center" wrapText="1"/>
    </xf>
    <xf numFmtId="164" fontId="3" fillId="0" borderId="0" xfId="0" applyNumberFormat="1" applyFont="1"/>
    <xf numFmtId="164" fontId="24" fillId="0" borderId="0" xfId="0" applyNumberFormat="1" applyFont="1"/>
    <xf numFmtId="164" fontId="20" fillId="0" borderId="0" xfId="0" applyNumberFormat="1" applyFont="1"/>
    <xf numFmtId="167" fontId="0" fillId="0" borderId="0" xfId="0" applyNumberFormat="1"/>
    <xf numFmtId="167" fontId="2" fillId="0" borderId="0" xfId="0" applyNumberFormat="1" applyFont="1"/>
    <xf numFmtId="0" fontId="2" fillId="0" borderId="0" xfId="0" applyFont="1"/>
    <xf numFmtId="164" fontId="6" fillId="0" borderId="0" xfId="0" applyNumberFormat="1" applyFont="1"/>
    <xf numFmtId="1" fontId="8" fillId="17" borderId="12" xfId="1" applyNumberFormat="1" applyFont="1" applyFill="1" applyBorder="1" applyAlignment="1">
      <alignment horizontal="center" vertical="center" wrapText="1"/>
    </xf>
    <xf numFmtId="1" fontId="8" fillId="17" borderId="13" xfId="1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left" vertical="center" wrapText="1"/>
    </xf>
    <xf numFmtId="1" fontId="0" fillId="17" borderId="2" xfId="2" applyNumberFormat="1" applyFont="1" applyFill="1" applyBorder="1" applyAlignment="1">
      <alignment horizontal="center"/>
    </xf>
    <xf numFmtId="1" fontId="0" fillId="0" borderId="2" xfId="2" applyNumberFormat="1" applyFont="1" applyFill="1" applyBorder="1" applyAlignment="1">
      <alignment horizontal="center"/>
    </xf>
    <xf numFmtId="1" fontId="6" fillId="18" borderId="2" xfId="0" applyNumberFormat="1" applyFont="1" applyFill="1" applyBorder="1" applyAlignment="1">
      <alignment horizontal="center"/>
    </xf>
    <xf numFmtId="0" fontId="13" fillId="0" borderId="2" xfId="0" applyFont="1" applyBorder="1" applyAlignment="1">
      <alignment vertical="center" wrapText="1"/>
    </xf>
    <xf numFmtId="44" fontId="6" fillId="18" borderId="2" xfId="2" applyFont="1" applyFill="1" applyBorder="1" applyAlignment="1">
      <alignment horizontal="center"/>
    </xf>
    <xf numFmtId="0" fontId="6" fillId="0" borderId="2" xfId="0" applyFont="1" applyBorder="1"/>
    <xf numFmtId="168" fontId="6" fillId="0" borderId="2" xfId="2" applyNumberFormat="1" applyFont="1" applyFill="1" applyBorder="1"/>
    <xf numFmtId="1" fontId="0" fillId="18" borderId="2" xfId="0" applyNumberFormat="1" applyFill="1" applyBorder="1" applyAlignment="1">
      <alignment horizontal="center"/>
    </xf>
    <xf numFmtId="1" fontId="0" fillId="2" borderId="2" xfId="2" applyNumberFormat="1" applyFont="1" applyFill="1" applyBorder="1" applyAlignment="1">
      <alignment horizontal="center"/>
    </xf>
    <xf numFmtId="1" fontId="0" fillId="18" borderId="2" xfId="2" applyNumberFormat="1" applyFont="1" applyFill="1" applyBorder="1"/>
    <xf numFmtId="168" fontId="0" fillId="2" borderId="2" xfId="2" applyNumberFormat="1" applyFont="1" applyFill="1" applyBorder="1"/>
    <xf numFmtId="44" fontId="0" fillId="18" borderId="2" xfId="2" applyFont="1" applyFill="1" applyBorder="1"/>
    <xf numFmtId="1" fontId="0" fillId="8" borderId="2" xfId="2" applyNumberFormat="1" applyFont="1" applyFill="1" applyBorder="1" applyAlignment="1">
      <alignment horizontal="center"/>
    </xf>
    <xf numFmtId="1" fontId="0" fillId="18" borderId="2" xfId="2" applyNumberFormat="1" applyFont="1" applyFill="1" applyBorder="1" applyAlignment="1">
      <alignment horizontal="right"/>
    </xf>
    <xf numFmtId="1" fontId="20" fillId="3" borderId="39" xfId="0" applyNumberFormat="1" applyFont="1" applyFill="1" applyBorder="1"/>
    <xf numFmtId="168" fontId="0" fillId="8" borderId="2" xfId="2" applyNumberFormat="1" applyFont="1" applyFill="1" applyBorder="1"/>
    <xf numFmtId="168" fontId="0" fillId="0" borderId="0" xfId="2" applyNumberFormat="1" applyFont="1" applyFill="1"/>
    <xf numFmtId="44" fontId="25" fillId="20" borderId="2" xfId="0" applyNumberFormat="1" applyFont="1" applyFill="1" applyBorder="1" applyAlignment="1">
      <alignment horizontal="center" vertical="center" wrapText="1"/>
    </xf>
    <xf numFmtId="167" fontId="25" fillId="0" borderId="2" xfId="0" applyNumberFormat="1" applyFont="1" applyBorder="1" applyAlignment="1">
      <alignment vertical="center"/>
    </xf>
    <xf numFmtId="164" fontId="0" fillId="0" borderId="0" xfId="0" applyNumberFormat="1"/>
    <xf numFmtId="0" fontId="3" fillId="0" borderId="0" xfId="0" applyFont="1" applyAlignment="1">
      <alignment horizontal="center"/>
    </xf>
    <xf numFmtId="44" fontId="0" fillId="0" borderId="0" xfId="0" applyNumberFormat="1"/>
    <xf numFmtId="44" fontId="3" fillId="21" borderId="0" xfId="0" applyNumberFormat="1" applyFont="1" applyFill="1" applyAlignment="1">
      <alignment vertical="center"/>
    </xf>
    <xf numFmtId="0" fontId="0" fillId="0" borderId="2" xfId="0" applyBorder="1"/>
    <xf numFmtId="44" fontId="0" fillId="0" borderId="2" xfId="2" applyFont="1" applyBorder="1"/>
    <xf numFmtId="44" fontId="26" fillId="0" borderId="2" xfId="2" applyFont="1" applyBorder="1"/>
    <xf numFmtId="168" fontId="27" fillId="0" borderId="0" xfId="2" applyNumberFormat="1" applyFont="1"/>
    <xf numFmtId="0" fontId="27" fillId="0" borderId="0" xfId="0" applyFont="1"/>
    <xf numFmtId="164" fontId="28" fillId="0" borderId="2" xfId="3" applyNumberFormat="1" applyFont="1" applyFill="1" applyBorder="1" applyAlignment="1">
      <alignment horizontal="center" vertical="center"/>
    </xf>
    <xf numFmtId="168" fontId="29" fillId="0" borderId="0" xfId="0" applyNumberFormat="1" applyFont="1"/>
    <xf numFmtId="164" fontId="28" fillId="0" borderId="7" xfId="3" applyNumberFormat="1" applyFont="1" applyFill="1" applyBorder="1" applyAlignment="1">
      <alignment horizontal="center" vertical="center"/>
    </xf>
    <xf numFmtId="164" fontId="28" fillId="0" borderId="8" xfId="3" applyNumberFormat="1" applyFont="1" applyFill="1" applyBorder="1" applyAlignment="1">
      <alignment horizontal="center" vertical="center"/>
    </xf>
    <xf numFmtId="164" fontId="28" fillId="7" borderId="2" xfId="3" applyNumberFormat="1" applyFont="1" applyFill="1" applyBorder="1" applyAlignment="1">
      <alignment horizontal="center" vertical="center"/>
    </xf>
    <xf numFmtId="169" fontId="0" fillId="0" borderId="0" xfId="0" applyNumberFormat="1"/>
    <xf numFmtId="0" fontId="13" fillId="8" borderId="2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2" xfId="0" applyFont="1" applyFill="1" applyBorder="1" applyAlignment="1">
      <alignment horizontal="center" vertical="center" wrapText="1"/>
    </xf>
    <xf numFmtId="0" fontId="13" fillId="7" borderId="23" xfId="0" applyFont="1" applyFill="1" applyBorder="1" applyAlignment="1">
      <alignment horizontal="center" vertical="center" wrapText="1"/>
    </xf>
    <xf numFmtId="166" fontId="13" fillId="7" borderId="21" xfId="5" applyFont="1" applyFill="1" applyBorder="1" applyAlignment="1">
      <alignment horizontal="center" vertical="center" wrapText="1"/>
    </xf>
    <xf numFmtId="166" fontId="13" fillId="7" borderId="22" xfId="5" applyFont="1" applyFill="1" applyBorder="1" applyAlignment="1">
      <alignment horizontal="center" vertical="center" wrapText="1"/>
    </xf>
    <xf numFmtId="166" fontId="13" fillId="7" borderId="35" xfId="5" applyFont="1" applyFill="1" applyBorder="1" applyAlignment="1">
      <alignment horizontal="center" vertical="center" wrapText="1"/>
    </xf>
    <xf numFmtId="166" fontId="13" fillId="7" borderId="25" xfId="5" applyFont="1" applyFill="1" applyBorder="1" applyAlignment="1">
      <alignment horizontal="center" vertical="center" wrapText="1"/>
    </xf>
    <xf numFmtId="168" fontId="3" fillId="2" borderId="3" xfId="2" applyNumberFormat="1" applyFont="1" applyFill="1" applyBorder="1" applyAlignment="1">
      <alignment horizontal="center"/>
    </xf>
    <xf numFmtId="168" fontId="3" fillId="2" borderId="40" xfId="2" applyNumberFormat="1" applyFont="1" applyFill="1" applyBorder="1" applyAlignment="1">
      <alignment horizontal="center"/>
    </xf>
    <xf numFmtId="168" fontId="3" fillId="2" borderId="41" xfId="2" applyNumberFormat="1" applyFont="1" applyFill="1" applyBorder="1" applyAlignment="1">
      <alignment horizontal="center"/>
    </xf>
    <xf numFmtId="168" fontId="3" fillId="8" borderId="3" xfId="2" applyNumberFormat="1" applyFont="1" applyFill="1" applyBorder="1" applyAlignment="1">
      <alignment horizontal="center"/>
    </xf>
    <xf numFmtId="168" fontId="3" fillId="8" borderId="40" xfId="2" applyNumberFormat="1" applyFont="1" applyFill="1" applyBorder="1" applyAlignment="1">
      <alignment horizontal="center"/>
    </xf>
    <xf numFmtId="168" fontId="3" fillId="8" borderId="41" xfId="2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0" xfId="0" applyFont="1" applyFill="1" applyBorder="1" applyAlignment="1">
      <alignment horizontal="center"/>
    </xf>
    <xf numFmtId="0" fontId="3" fillId="8" borderId="41" xfId="0" applyFont="1" applyFill="1" applyBorder="1" applyAlignment="1">
      <alignment horizontal="center"/>
    </xf>
    <xf numFmtId="0" fontId="25" fillId="19" borderId="0" xfId="0" applyFont="1" applyFill="1" applyAlignment="1">
      <alignment horizontal="center"/>
    </xf>
    <xf numFmtId="0" fontId="19" fillId="14" borderId="1" xfId="0" applyFont="1" applyFill="1" applyBorder="1" applyAlignment="1">
      <alignment horizontal="center" vertical="center" wrapText="1"/>
    </xf>
    <xf numFmtId="0" fontId="19" fillId="14" borderId="18" xfId="0" applyFont="1" applyFill="1" applyBorder="1" applyAlignment="1">
      <alignment horizontal="center" vertical="center" wrapText="1"/>
    </xf>
    <xf numFmtId="0" fontId="5" fillId="15" borderId="21" xfId="0" applyFont="1" applyFill="1" applyBorder="1" applyAlignment="1">
      <alignment horizontal="center" vertical="center"/>
    </xf>
    <xf numFmtId="0" fontId="5" fillId="15" borderId="22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23" fillId="16" borderId="21" xfId="0" applyFont="1" applyFill="1" applyBorder="1" applyAlignment="1">
      <alignment horizontal="center" vertical="center"/>
    </xf>
    <xf numFmtId="0" fontId="23" fillId="16" borderId="22" xfId="0" applyFont="1" applyFill="1" applyBorder="1" applyAlignment="1">
      <alignment horizontal="center" vertical="center"/>
    </xf>
    <xf numFmtId="0" fontId="25" fillId="0" borderId="27" xfId="0" applyFont="1" applyBorder="1" applyAlignment="1">
      <alignment horizontal="center"/>
    </xf>
    <xf numFmtId="0" fontId="3" fillId="21" borderId="0" xfId="0" applyFont="1" applyFill="1" applyAlignment="1">
      <alignment horizontal="center" wrapText="1"/>
    </xf>
  </cellXfs>
  <cellStyles count="6">
    <cellStyle name="Millares" xfId="1" builtinId="3"/>
    <cellStyle name="Moneda" xfId="2" builtinId="4"/>
    <cellStyle name="Moneda [0] 2" xfId="5" xr:uid="{5062B667-E186-434A-8888-5BDDC4CEDC88}"/>
    <cellStyle name="Moneda 3" xfId="3" xr:uid="{EA72302F-89E2-4B4A-9B0D-B07E96F63F07}"/>
    <cellStyle name="Normal" xfId="0" builtinId="0"/>
    <cellStyle name="Normal 2" xfId="4" xr:uid="{A48FE412-DB32-4FC6-BA31-937C0D1DA695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esar Andres Manrique Grimaldos" id="{6F7A74DE-A56D-4108-8F1C-64C0902A7844}" userId="S::camanrique@sena.edu.co::c7b7db4d-8329-42f6-86f4-016d83cc52f7" providerId="AD"/>
  <person displayName="Jorge Armando Rodriguez Forero" id="{1444540D-44E4-454E-B25D-F38F44383F22}" userId="S::jrodriguezf@sena.edu.co::95f04b9d-42e3-4786-a8e2-40610174794f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0" dT="2024-07-04T21:41:50.29" personId="{1444540D-44E4-454E-B25D-F38F44383F22}" id="{63C95A94-FC4E-40A8-B802-5AC7F5FAA061}">
    <text>SERVICIO NUEVO DESDE EL 01 DE JUNIO</text>
  </threadedComment>
  <threadedComment ref="Q28" dT="2024-07-04T21:43:12.06" personId="{1444540D-44E4-454E-B25D-F38F44383F22}" id="{DB99474D-D841-4434-A890-9E771F795EEF}">
    <text>SERVICIO NUEVO DESDE EL 01 DE JUNIO</text>
  </threadedComment>
  <threadedComment ref="K38" dT="2024-07-13T22:45:29.58" personId="{1444540D-44E4-454E-B25D-F38F44383F22}" id="{993B12B9-DD64-4A5F-B91C-FF922B121935}">
    <text>SERVICIO PASO A 24 HORAS DESDE EL 01 DE JUNIO</text>
  </threadedComment>
  <threadedComment ref="M38" dT="2024-07-13T22:46:21.09" personId="{1444540D-44E4-454E-B25D-F38F44383F22}" id="{F55D1340-7E35-4B7D-8F57-5135CC3C0191}">
    <text xml:space="preserve">SERVICIOS PASARON A 24 HORAS DESDE EL 01 DE JUNIO
</text>
  </threadedComment>
  <threadedComment ref="B44" dT="2024-04-09T21:38:57.32" personId="{1444540D-44E4-454E-B25D-F38F44383F22}" id="{C180822F-BDD7-4C75-90D2-3ED1AA3B138D}">
    <text>PDTE CERTIFICADO AJUSTADO DE PETROQUIMICA</text>
  </threadedComment>
  <threadedComment ref="N53" dT="2024-09-12T15:30:47.85" personId="{1444540D-44E4-454E-B25D-F38F44383F22}" id="{FA7DE72B-EE6C-4F33-B59C-8CD3A9625100}">
    <text>Servicio se modifica a 24 horas todos los dias sin arma desde el 01 de junio</text>
  </threadedComment>
  <threadedComment ref="N57" dT="2024-07-13T14:49:23.50" personId="{1444540D-44E4-454E-B25D-F38F44383F22}" id="{26032CC4-A769-45CD-8B3B-B245D02A874E}">
    <text xml:space="preserve">Servicio se modifica a 24 horas todos los dias sin arma desde el 01 de junio
</text>
  </threadedComment>
  <threadedComment ref="B84" dT="2024-03-04T22:21:59.82" personId="{6F7A74DE-A56D-4108-8F1C-64C0902A7844}" id="{849B5B12-09F3-437D-A165-4537A89038E5}">
    <text>Se solicita cambiar certificación por que va del 30 de dic al 30 de enero y son dos por aparte</text>
  </threadedComment>
  <threadedComment ref="B85" dT="2024-03-04T22:24:46.11" personId="{6F7A74DE-A56D-4108-8F1C-64C0902A7844}" id="{83C6962D-3AF4-4D2C-B8D2-312CEC854698}">
    <text>Se solicita cambiar certificación por que va del 30 de dic al 30 de enero y son dos por aparte</text>
  </threadedComment>
  <threadedComment ref="Q127" dT="2024-08-02T19:17:37.14" personId="{1444540D-44E4-454E-B25D-F38F44383F22}" id="{49CBF61D-AF2D-4CAC-B82C-6E3AEDFC082E}">
    <text>SERVICIO MODIFICADO DESDE EL 01 DE JULIO A 24 HORAS TODOS LOS DIAS SIN ARMA</text>
  </threadedComment>
  <threadedComment ref="R127" dT="2024-08-02T19:17:44.60" personId="{1444540D-44E4-454E-B25D-F38F44383F22}" id="{CE5599C7-4C30-4E1B-A64D-855EF94842A8}">
    <text>SERVICIO MODIFICADO DESDE EL 01 DE JULIO A 24 HORAS TODOS LOS DIAS SIN ARMA</text>
  </threadedComment>
  <threadedComment ref="N129" dT="2024-08-02T19:20:06.67" personId="{1444540D-44E4-454E-B25D-F38F44383F22}" id="{34484D79-F0C9-459D-904E-B2F86965FAE7}">
    <text>SERVICIOS MODIFICADOS DESDE EL 01 DE JULIO A 24 HORAS TODOS LOS DIAS SIN ARMA</text>
  </threadedComment>
  <threadedComment ref="P129" dT="2024-08-02T19:20:23.26" personId="{1444540D-44E4-454E-B25D-F38F44383F22}" id="{65991A29-E664-4E24-A3C7-79690351B945}">
    <text>SERVICIO MODIFICADO DESDE EL 01 DE JULIO A 24 HORAS TODOS LOS DIAS SIN ARMA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Q20" dT="2024-07-04T21:41:50.29" personId="{1444540D-44E4-454E-B25D-F38F44383F22}" id="{6CF46209-8AE8-4FF2-A3FD-4ECC8073DEC6}">
    <text>SERVICIO NUEVO DESDE EL 01 DE JUNIO</text>
  </threadedComment>
  <threadedComment ref="Q28" dT="2024-07-04T21:43:12.06" personId="{1444540D-44E4-454E-B25D-F38F44383F22}" id="{E2501D76-5639-4BD9-910F-33578B263C70}">
    <text>SERVICIO NUEVO DESDE EL 01 DE JUNIO</text>
  </threadedComment>
  <threadedComment ref="K38" dT="2024-07-13T22:45:29.58" personId="{1444540D-44E4-454E-B25D-F38F44383F22}" id="{46C6A303-C7F4-4634-A576-BF2D3DF29440}">
    <text>SERVICIO PASO A 24 HORAS DESDE EL 01 DE JUNIO</text>
  </threadedComment>
  <threadedComment ref="M38" dT="2024-07-13T22:46:21.09" personId="{1444540D-44E4-454E-B25D-F38F44383F22}" id="{6E43D9B3-E2B4-4390-8CB4-C8F23ACC6A43}">
    <text xml:space="preserve">SERVICIOS PASARON A 24 HORAS DESDE EL 01 DE JUNIO
</text>
  </threadedComment>
  <threadedComment ref="B44" dT="2024-04-09T21:38:57.32" personId="{1444540D-44E4-454E-B25D-F38F44383F22}" id="{98593E4F-8668-4316-AEAF-D6E279C86A68}">
    <text>PDTE CERTIFICADO AJUSTADO DE PETROQUIMICA</text>
  </threadedComment>
  <threadedComment ref="N53" dT="2024-09-12T15:30:47.85" personId="{1444540D-44E4-454E-B25D-F38F44383F22}" id="{DE3D2867-AABC-4EC4-8B77-E11CECCBD3FA}">
    <text>Servicio se modifica a 24 horas todos los dias sin arma desde el 01 de junio</text>
  </threadedComment>
  <threadedComment ref="N57" dT="2024-07-13T14:49:23.50" personId="{1444540D-44E4-454E-B25D-F38F44383F22}" id="{FC4A95F2-7182-49CE-8816-16EE9447A684}">
    <text xml:space="preserve">Servicio se modifica a 24 horas todos los dias sin arma desde el 01 de junio
</text>
  </threadedComment>
  <threadedComment ref="B84" dT="2024-03-04T22:21:59.82" personId="{6F7A74DE-A56D-4108-8F1C-64C0902A7844}" id="{F3959C7F-6463-4356-BA74-06067663B9F7}">
    <text>Se solicita cambiar certificación por que va del 30 de dic al 30 de enero y son dos por aparte</text>
  </threadedComment>
  <threadedComment ref="B85" dT="2024-03-04T22:24:46.11" personId="{6F7A74DE-A56D-4108-8F1C-64C0902A7844}" id="{426DE064-FE0D-45AB-8EF8-B2DD327BB516}">
    <text>Se solicita cambiar certificación por que va del 30 de dic al 30 de enero y son dos por aparte</text>
  </threadedComment>
  <threadedComment ref="Q127" dT="2024-08-02T19:17:37.14" personId="{1444540D-44E4-454E-B25D-F38F44383F22}" id="{4588412E-FCE8-49EC-BE5B-F646329A5E58}">
    <text>SERVICIO MODIFICADO DESDE EL 01 DE JULIO A 24 HORAS TODOS LOS DIAS SIN ARMA</text>
  </threadedComment>
  <threadedComment ref="R127" dT="2024-08-02T19:17:44.60" personId="{1444540D-44E4-454E-B25D-F38F44383F22}" id="{96D0E07D-1AF2-4202-B292-FF4ED2C719F5}">
    <text>SERVICIO MODIFICADO DESDE EL 01 DE JULIO A 24 HORAS TODOS LOS DIAS SIN ARMA</text>
  </threadedComment>
  <threadedComment ref="N129" dT="2024-08-02T19:20:06.67" personId="{1444540D-44E4-454E-B25D-F38F44383F22}" id="{31E3DDE2-6462-4028-875E-7361C6E0F88C}">
    <text>SERVICIOS MODIFICADOS DESDE EL 01 DE JULIO A 24 HORAS TODOS LOS DIAS SIN ARMA</text>
  </threadedComment>
  <threadedComment ref="P129" dT="2024-08-02T19:20:23.26" personId="{1444540D-44E4-454E-B25D-F38F44383F22}" id="{6087B9AB-DF3D-4663-B150-8528DAAD198B}">
    <text>SERVICIO MODIFICADO DESDE EL 01 DE JULIO A 24 HORAS TODOS LOS DIAS SIN ARMA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Q20" dT="2024-07-04T21:41:50.29" personId="{1444540D-44E4-454E-B25D-F38F44383F22}" id="{14FC6283-4E0C-4619-B168-6C5E6843740D}">
    <text>SERVICIO NUEVO DESDE EL 01 DE JUNIO</text>
  </threadedComment>
  <threadedComment ref="Q28" dT="2024-07-04T21:43:12.06" personId="{1444540D-44E4-454E-B25D-F38F44383F22}" id="{EC647F65-EB50-416B-B86A-209312892C22}">
    <text>SERVICIO NUEVO DESDE EL 01 DE JUNIO</text>
  </threadedComment>
  <threadedComment ref="K38" dT="2024-07-13T22:45:29.58" personId="{1444540D-44E4-454E-B25D-F38F44383F22}" id="{1D266BFF-057F-4DE7-9588-6C0F16194CC2}">
    <text>SERVICIO PASO A 24 HORAS DESDE EL 01 DE JUNIO</text>
  </threadedComment>
  <threadedComment ref="M38" dT="2024-07-13T22:46:21.09" personId="{1444540D-44E4-454E-B25D-F38F44383F22}" id="{8C746985-5078-48AB-B157-3762F723D2B7}">
    <text xml:space="preserve">SERVICIOS PASARON A 24 HORAS DESDE EL 01 DE JUNIO
</text>
  </threadedComment>
  <threadedComment ref="B44" dT="2024-04-09T21:38:57.32" personId="{1444540D-44E4-454E-B25D-F38F44383F22}" id="{06F84BD7-A2C3-4F79-908A-956FA482C7A3}">
    <text>PDTE CERTIFICADO AJUSTADO DE PETROQUIMICA</text>
  </threadedComment>
  <threadedComment ref="N53" dT="2024-09-12T15:30:47.85" personId="{1444540D-44E4-454E-B25D-F38F44383F22}" id="{9600AE20-CD23-4BBE-AF76-B9CBF5307782}">
    <text>Servicio se modifica a 24 horas todos los dias sin arma desde el 01 de junio</text>
  </threadedComment>
  <threadedComment ref="N57" dT="2024-07-13T14:49:23.50" personId="{1444540D-44E4-454E-B25D-F38F44383F22}" id="{CA2A788B-E8A4-488F-9A83-752CD8B9C168}">
    <text xml:space="preserve">Servicio se modifica a 24 horas todos los dias sin arma desde el 01 de junio
</text>
  </threadedComment>
  <threadedComment ref="B84" dT="2024-03-04T22:21:59.82" personId="{6F7A74DE-A56D-4108-8F1C-64C0902A7844}" id="{9122F34B-1076-4D23-A5F3-A73082C9D6B0}">
    <text>Se solicita cambiar certificación por que va del 30 de dic al 30 de enero y son dos por aparte</text>
  </threadedComment>
  <threadedComment ref="B85" dT="2024-03-04T22:24:46.11" personId="{6F7A74DE-A56D-4108-8F1C-64C0902A7844}" id="{21E6071E-1319-4F59-91A5-7087981FB8D4}">
    <text>Se solicita cambiar certificación por que va del 30 de dic al 30 de enero y son dos por aparte</text>
  </threadedComment>
  <threadedComment ref="Q127" dT="2024-08-02T19:17:37.14" personId="{1444540D-44E4-454E-B25D-F38F44383F22}" id="{FDCD6499-C0CE-4DB8-A9D7-DEF64FAD77C7}">
    <text>SERVICIO MODIFICADO DESDE EL 01 DE JULIO A 24 HORAS TODOS LOS DIAS SIN ARMA</text>
  </threadedComment>
  <threadedComment ref="R127" dT="2024-08-02T19:17:44.60" personId="{1444540D-44E4-454E-B25D-F38F44383F22}" id="{ED852AE5-A3D9-45CD-A725-E3E968F00B8F}">
    <text>SERVICIO MODIFICADO DESDE EL 01 DE JULIO A 24 HORAS TODOS LOS DIAS SIN ARMA</text>
  </threadedComment>
  <threadedComment ref="N129" dT="2024-08-02T19:20:06.67" personId="{1444540D-44E4-454E-B25D-F38F44383F22}" id="{5D947CE1-7594-488F-8E02-D935B49BC602}">
    <text>SERVICIOS MODIFICADOS DESDE EL 01 DE JULIO A 24 HORAS TODOS LOS DIAS SIN ARMA</text>
  </threadedComment>
  <threadedComment ref="P129" dT="2024-08-02T19:20:23.26" personId="{1444540D-44E4-454E-B25D-F38F44383F22}" id="{2C49FF3E-CC98-402C-8E0B-FC3F6767668E}">
    <text>SERVICIO MODIFICADO DESDE EL 01 DE JULIO A 24 HORAS TODOS LOS DIAS SIN ARMA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Q20" dT="2024-07-04T21:41:50.29" personId="{1444540D-44E4-454E-B25D-F38F44383F22}" id="{726CD26A-7852-4D1A-BC32-D2946DFD817A}">
    <text>SERVICIO NUEVO DESDE EL 01 DE JUNIO</text>
  </threadedComment>
  <threadedComment ref="Q28" dT="2024-07-04T21:43:12.06" personId="{1444540D-44E4-454E-B25D-F38F44383F22}" id="{355AD1F5-6A0C-455D-8F8A-AB63597C9767}">
    <text>SERVICIO NUEVO DESDE EL 01 DE JUNIO</text>
  </threadedComment>
  <threadedComment ref="K38" dT="2024-07-13T22:45:29.58" personId="{1444540D-44E4-454E-B25D-F38F44383F22}" id="{BE7DAE0C-2A70-4D7B-81F0-450CD160DBE8}">
    <text>SERVICIO PASO A 24 HORAS DESDE EL 01 DE JUNIO</text>
  </threadedComment>
  <threadedComment ref="M38" dT="2024-07-13T22:46:21.09" personId="{1444540D-44E4-454E-B25D-F38F44383F22}" id="{AA4BB3D3-3905-4BB8-8E47-EBDC77ACBED8}">
    <text xml:space="preserve">SERVICIOS PASARON A 24 HORAS DESDE EL 01 DE JUNIO
</text>
  </threadedComment>
  <threadedComment ref="B44" dT="2024-04-09T21:38:57.32" personId="{1444540D-44E4-454E-B25D-F38F44383F22}" id="{1FB6B459-6935-4918-8204-34F102A1307D}">
    <text>PDTE CERTIFICADO AJUSTADO DE PETROQUIMICA</text>
  </threadedComment>
  <threadedComment ref="N53" dT="2024-09-12T15:30:47.85" personId="{1444540D-44E4-454E-B25D-F38F44383F22}" id="{5FE9AD0A-DC72-4201-B424-DD84AB6CA208}">
    <text>Servicio se modifica a 24 horas todos los dias sin arma desde el 01 de junio</text>
  </threadedComment>
  <threadedComment ref="N57" dT="2024-07-13T14:49:23.50" personId="{1444540D-44E4-454E-B25D-F38F44383F22}" id="{6F3A87F1-CB3B-483E-B78A-E2815A265147}">
    <text xml:space="preserve">Servicio se modifica a 24 horas todos los dias sin arma desde el 01 de junio
</text>
  </threadedComment>
  <threadedComment ref="B84" dT="2024-03-04T22:21:59.82" personId="{6F7A74DE-A56D-4108-8F1C-64C0902A7844}" id="{996EFADF-AC5F-4C20-B859-CD1135173532}">
    <text>Se solicita cambiar certificación por que va del 30 de dic al 30 de enero y son dos por aparte</text>
  </threadedComment>
  <threadedComment ref="B85" dT="2024-03-04T22:24:46.11" personId="{6F7A74DE-A56D-4108-8F1C-64C0902A7844}" id="{A0C6801B-F865-41A9-82F6-47B05531A613}">
    <text>Se solicita cambiar certificación por que va del 30 de dic al 30 de enero y son dos por aparte</text>
  </threadedComment>
  <threadedComment ref="Q127" dT="2024-08-02T19:17:37.14" personId="{1444540D-44E4-454E-B25D-F38F44383F22}" id="{26672ACA-B3EB-44A4-A3E3-359F34FFBA12}">
    <text>SERVICIO MODIFICADO DESDE EL 01 DE JULIO A 24 HORAS TODOS LOS DIAS SIN ARMA</text>
  </threadedComment>
  <threadedComment ref="R127" dT="2024-08-02T19:17:44.60" personId="{1444540D-44E4-454E-B25D-F38F44383F22}" id="{727988B4-32DB-4A7F-A92D-51C6A60E53B9}">
    <text>SERVICIO MODIFICADO DESDE EL 01 DE JULIO A 24 HORAS TODOS LOS DIAS SIN ARMA</text>
  </threadedComment>
  <threadedComment ref="N129" dT="2024-08-02T19:20:06.67" personId="{1444540D-44E4-454E-B25D-F38F44383F22}" id="{81591AB3-6C2F-4886-915E-74553D233ECD}">
    <text>SERVICIOS MODIFICADOS DESDE EL 01 DE JULIO A 24 HORAS TODOS LOS DIAS SIN ARMA</text>
  </threadedComment>
  <threadedComment ref="P129" dT="2024-08-02T19:20:23.26" personId="{1444540D-44E4-454E-B25D-F38F44383F22}" id="{E7C4D3C6-F3D9-460F-8375-AE1AA0BC3E3C}">
    <text>SERVICIO MODIFICADO DESDE EL 01 DE JULIO A 24 HORAS TODOS LOS DIAS SIN ARMA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4.xml"/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7331-07FF-4972-B17C-6F8811E1D249}">
  <sheetPr>
    <tabColor rgb="FFFFFF00"/>
  </sheetPr>
  <dimension ref="A1:AM156"/>
  <sheetViews>
    <sheetView tabSelected="1" topLeftCell="A145" zoomScaleNormal="100" workbookViewId="0">
      <selection activeCell="G155" sqref="G155"/>
    </sheetView>
  </sheetViews>
  <sheetFormatPr baseColWidth="10" defaultColWidth="11.42578125" defaultRowHeight="15" x14ac:dyDescent="0.25"/>
  <cols>
    <col min="1" max="1" width="21.140625" customWidth="1"/>
    <col min="2" max="2" width="31.42578125" customWidth="1"/>
    <col min="3" max="3" width="22.28515625" customWidth="1"/>
    <col min="4" max="4" width="19.42578125" bestFit="1" customWidth="1"/>
    <col min="5" max="5" width="17" bestFit="1" customWidth="1"/>
    <col min="6" max="7" width="16.42578125" customWidth="1"/>
    <col min="8" max="8" width="19.28515625" bestFit="1" customWidth="1"/>
    <col min="9" max="9" width="18.5703125" style="160" customWidth="1"/>
    <col min="10" max="10" width="14.28515625" style="160" customWidth="1"/>
    <col min="11" max="11" width="16.42578125" style="160" customWidth="1"/>
    <col min="12" max="12" width="16.42578125" customWidth="1"/>
    <col min="13" max="13" width="15.85546875" style="160" customWidth="1"/>
    <col min="14" max="17" width="16.42578125" customWidth="1"/>
    <col min="18" max="18" width="18.42578125" customWidth="1"/>
    <col min="19" max="19" width="16.85546875" style="160" customWidth="1"/>
    <col min="20" max="22" width="16.42578125" customWidth="1"/>
    <col min="23" max="23" width="16.42578125" style="160" hidden="1" customWidth="1"/>
    <col min="24" max="24" width="17.42578125" customWidth="1"/>
    <col min="25" max="25" width="12" style="160" customWidth="1"/>
    <col min="26" max="26" width="12.28515625" style="160" customWidth="1"/>
    <col min="27" max="27" width="19.42578125" customWidth="1"/>
    <col min="28" max="30" width="15.28515625" bestFit="1" customWidth="1"/>
    <col min="31" max="31" width="13.85546875" bestFit="1" customWidth="1"/>
    <col min="32" max="32" width="12.42578125" bestFit="1" customWidth="1"/>
    <col min="33" max="33" width="12.7109375" bestFit="1" customWidth="1"/>
    <col min="34" max="34" width="13.85546875" bestFit="1" customWidth="1"/>
    <col min="35" max="35" width="23.42578125" style="52" customWidth="1"/>
  </cols>
  <sheetData>
    <row r="1" spans="1:39" ht="15.75" thickBot="1" x14ac:dyDescent="0.3">
      <c r="E1" s="191"/>
      <c r="F1" s="192"/>
      <c r="G1" s="191"/>
      <c r="H1" s="192">
        <v>1750905</v>
      </c>
      <c r="I1" s="192">
        <v>9.77</v>
      </c>
      <c r="J1" s="192">
        <v>2850</v>
      </c>
      <c r="K1" s="192"/>
      <c r="L1" s="192"/>
      <c r="M1" s="192"/>
      <c r="N1" s="192"/>
      <c r="O1" s="192"/>
      <c r="P1" s="193"/>
      <c r="Q1" s="193"/>
      <c r="R1" s="192"/>
      <c r="S1" s="192"/>
      <c r="T1" s="194"/>
      <c r="U1" s="192"/>
      <c r="V1" s="192"/>
      <c r="W1" s="192"/>
      <c r="X1" s="192"/>
      <c r="Y1" s="192"/>
      <c r="Z1" s="192"/>
      <c r="AH1" s="184"/>
    </row>
    <row r="2" spans="1:39" x14ac:dyDescent="0.25">
      <c r="A2" s="200" t="s">
        <v>0</v>
      </c>
      <c r="B2" s="200"/>
      <c r="C2" s="200"/>
      <c r="D2" s="1" t="s">
        <v>1</v>
      </c>
      <c r="E2" s="197">
        <f>(($H$1*$I$1)+$J$1)</f>
        <v>17109191.849999998</v>
      </c>
      <c r="F2" s="197">
        <f>(($H$1*$I$1)+$J$1)</f>
        <v>17109191.849999998</v>
      </c>
      <c r="G2" s="197">
        <f>(($H$1*$I$1)+$J$1)</f>
        <v>17109191.849999998</v>
      </c>
      <c r="H2" s="197">
        <f>(($H$1*$I$1)+$J$1)</f>
        <v>17109191.849999998</v>
      </c>
      <c r="I2" s="197">
        <f>(($H$1*$I$1)+$J$1)/30*20</f>
        <v>11406127.899999999</v>
      </c>
      <c r="J2" s="197">
        <f>(($H$1*$I$1)+$J$1)/30*24</f>
        <v>13687353.479999997</v>
      </c>
      <c r="K2" s="197">
        <f>((($H$1*$I$1)+$J$1)*0.4759/13*5)+((($H$1*$I$1)+$J$1)*0.5241/11*11)</f>
        <v>12098567.602975383</v>
      </c>
      <c r="L2" s="197">
        <f>((($H$1*$I$1)+$J$1)*0.4759/13*13)+((($H$1*$I$1)+$J$1)*0.5241/11*3)</f>
        <v>10587790.069210907</v>
      </c>
      <c r="M2" s="197">
        <f>((($H$1*$I$1)+$J$1)*0.4759/30*20/13*13)+((($H$1*$I$1)+$J$1)*0.5241/30*20/11*3)</f>
        <v>7058526.7128072716</v>
      </c>
      <c r="N2" s="197">
        <f>((($H$1*$I$1)+$J$1)*0.4759/30*24/13*13)+((($H$1*$I$1)+$J$1)*0.5241/30*24/11*3)</f>
        <v>8470232.0553687271</v>
      </c>
      <c r="O2" s="197">
        <f>(($H$1*$I$1)+$J$1)*0.4759/13*12</f>
        <v>7515936.3705369215</v>
      </c>
      <c r="P2" s="197">
        <f>(($H$1*$I$1)+$J$1)*0.4759/30*20/13*12</f>
        <v>5010624.2470246144</v>
      </c>
      <c r="Q2" s="197">
        <f>(($H$1*$I$1)+$J$1)*0.4759/30*24/13*12</f>
        <v>6012749.096429538</v>
      </c>
      <c r="R2" s="197">
        <f>((($H$1*$I$1)+$J$1)*0.4759/13*1)+((($H$1*$I$1)+$J$1)*0.5241/11*11)</f>
        <v>9593255.4794630762</v>
      </c>
      <c r="S2" s="197">
        <f>((($H$1*$I$1)+$J$1)*0.4759/30*24/13*1)+((($H$1*$I$1)+$J$1)*0.5241/30*24/11*11)</f>
        <v>7674604.3835704625</v>
      </c>
      <c r="T2" s="197">
        <f>((($H$1*$I$1)+$J$1)*0.4759/13*1)+((($H$1*$I$1)+$J$1)*0.5241/11*11)</f>
        <v>9593255.4794630762</v>
      </c>
      <c r="U2" s="197">
        <f>((($H$1*$I$1)+$J$1)*0.5241/11*8)</f>
        <v>6521401.7807890913</v>
      </c>
      <c r="V2" s="197">
        <f>((($H$1*$I$1)+$J$1)*0.5241/11*8)</f>
        <v>6521401.7807890913</v>
      </c>
      <c r="W2" s="197">
        <f>((($H$1*$I$1)+$J$1)*0.5241/30*20/11*8)</f>
        <v>4347601.1871927269</v>
      </c>
      <c r="X2" s="197">
        <f>(($H$1*$I$1)+$J$1)*0.4759/30*24/13*8</f>
        <v>4008499.3976196917</v>
      </c>
      <c r="Y2" s="197">
        <f>(($H$1*$I$1)+$J$1)*0.4759/30*20/13*8</f>
        <v>3340416.1646830761</v>
      </c>
      <c r="Z2" s="197">
        <f>(($H$1*$I$1)+$J$1)*0.4759/13*8</f>
        <v>5010624.2470246144</v>
      </c>
      <c r="AA2" s="3"/>
      <c r="AB2" s="2">
        <v>25383.666666666668</v>
      </c>
      <c r="AC2" s="2">
        <v>98665.666666666672</v>
      </c>
      <c r="AD2" s="2">
        <v>126394</v>
      </c>
      <c r="AE2" s="2">
        <v>91776.666666666672</v>
      </c>
      <c r="AF2" s="2">
        <v>289407.33333333331</v>
      </c>
      <c r="AG2" s="2">
        <v>97388</v>
      </c>
      <c r="AI2"/>
    </row>
    <row r="3" spans="1:39" x14ac:dyDescent="0.25">
      <c r="A3" s="200"/>
      <c r="B3" s="200"/>
      <c r="C3" s="200"/>
      <c r="D3" s="4" t="s">
        <v>2</v>
      </c>
      <c r="E3" s="193">
        <f>E2*10%</f>
        <v>1710919.1849999998</v>
      </c>
      <c r="F3" s="193">
        <f>F2*8%</f>
        <v>1368735.3479999998</v>
      </c>
      <c r="G3" s="193">
        <f>G2*8%</f>
        <v>1368735.3479999998</v>
      </c>
      <c r="H3" s="193">
        <f>H2*11%</f>
        <v>1882011.1034999997</v>
      </c>
      <c r="I3" s="193">
        <f>I2*8%</f>
        <v>912490.23199999984</v>
      </c>
      <c r="J3" s="193">
        <f>J2*8%</f>
        <v>1094988.2783999997</v>
      </c>
      <c r="K3" s="193">
        <f>K2*8%</f>
        <v>967885.40823803074</v>
      </c>
      <c r="L3" s="193">
        <f t="shared" ref="L3:S3" si="0">L2*8%</f>
        <v>847023.20553687261</v>
      </c>
      <c r="M3" s="193">
        <f t="shared" si="0"/>
        <v>564682.13702458178</v>
      </c>
      <c r="N3" s="193">
        <f t="shared" si="0"/>
        <v>677618.56442949816</v>
      </c>
      <c r="O3" s="193">
        <f t="shared" ref="O3" si="1">O2*8%</f>
        <v>601274.90964295377</v>
      </c>
      <c r="P3" s="193">
        <f t="shared" si="0"/>
        <v>400849.93976196914</v>
      </c>
      <c r="Q3" s="193">
        <f t="shared" si="0"/>
        <v>481019.92771436303</v>
      </c>
      <c r="R3" s="193">
        <f t="shared" si="0"/>
        <v>767460.43835704611</v>
      </c>
      <c r="S3" s="193">
        <f t="shared" si="0"/>
        <v>613968.35068563698</v>
      </c>
      <c r="T3" s="193">
        <f>T2*10%</f>
        <v>959325.54794630769</v>
      </c>
      <c r="U3" s="193">
        <f>U2*10%</f>
        <v>652140.17807890917</v>
      </c>
      <c r="V3" s="193">
        <f>V2*8%</f>
        <v>521712.14246312733</v>
      </c>
      <c r="W3" s="193">
        <f>W2*8%</f>
        <v>347808.09497541818</v>
      </c>
      <c r="X3" s="193">
        <f>X2*8%</f>
        <v>320679.95180957532</v>
      </c>
      <c r="Y3" s="193">
        <f>Y2*8%</f>
        <v>267233.2931746461</v>
      </c>
      <c r="Z3" s="193">
        <f>Z2*8%</f>
        <v>400849.93976196914</v>
      </c>
      <c r="AA3" s="3"/>
      <c r="AB3" s="2"/>
      <c r="AC3" s="2"/>
      <c r="AD3" s="2"/>
      <c r="AE3" s="2"/>
      <c r="AF3" s="2"/>
      <c r="AG3" s="2"/>
      <c r="AH3" s="184"/>
      <c r="AI3" s="184"/>
      <c r="AJ3" s="184"/>
      <c r="AK3" s="184"/>
      <c r="AL3" s="184"/>
      <c r="AM3" s="184"/>
    </row>
    <row r="4" spans="1:39" ht="15.75" thickBot="1" x14ac:dyDescent="0.3">
      <c r="A4" s="200"/>
      <c r="B4" s="200"/>
      <c r="C4" s="200"/>
      <c r="D4" s="5" t="s">
        <v>3</v>
      </c>
      <c r="E4" s="193">
        <f>(E2+E3)*0.019</f>
        <v>357582.10966499994</v>
      </c>
      <c r="F4" s="193">
        <f t="shared" ref="F4:Z4" si="2">(F2+F3)*0.019</f>
        <v>351080.61676199996</v>
      </c>
      <c r="G4" s="193">
        <f t="shared" si="2"/>
        <v>351080.61676199996</v>
      </c>
      <c r="H4" s="193">
        <f t="shared" si="2"/>
        <v>360832.85611649998</v>
      </c>
      <c r="I4" s="193">
        <f t="shared" ref="I4" si="3">(I2+I3)*0.019</f>
        <v>234053.74450799997</v>
      </c>
      <c r="J4" s="193">
        <f t="shared" si="2"/>
        <v>280864.49340959993</v>
      </c>
      <c r="K4" s="193">
        <f t="shared" si="2"/>
        <v>248262.60721305487</v>
      </c>
      <c r="L4" s="193">
        <f t="shared" si="2"/>
        <v>217261.45222020781</v>
      </c>
      <c r="M4" s="193">
        <f t="shared" si="2"/>
        <v>144840.96814680521</v>
      </c>
      <c r="N4" s="193">
        <f t="shared" si="2"/>
        <v>173809.16177616626</v>
      </c>
      <c r="O4" s="193">
        <f t="shared" ref="O4" si="4">(O2+O3)*0.019</f>
        <v>154227.01432341762</v>
      </c>
      <c r="P4" s="193">
        <f t="shared" si="2"/>
        <v>102818.00954894509</v>
      </c>
      <c r="Q4" s="193">
        <f t="shared" si="2"/>
        <v>123381.61145873411</v>
      </c>
      <c r="R4" s="193">
        <f t="shared" si="2"/>
        <v>196853.60243858231</v>
      </c>
      <c r="S4" s="193">
        <f t="shared" si="2"/>
        <v>157482.88195086591</v>
      </c>
      <c r="T4" s="193">
        <f t="shared" si="2"/>
        <v>200499.03952077829</v>
      </c>
      <c r="U4" s="193">
        <f t="shared" si="2"/>
        <v>136297.29721849202</v>
      </c>
      <c r="V4" s="193">
        <f t="shared" si="2"/>
        <v>133819.16454179215</v>
      </c>
      <c r="W4" s="193">
        <f t="shared" si="2"/>
        <v>89212.776361194759</v>
      </c>
      <c r="X4" s="193">
        <f t="shared" si="2"/>
        <v>82254.407639156067</v>
      </c>
      <c r="Y4" s="193">
        <f t="shared" si="2"/>
        <v>68545.339699296717</v>
      </c>
      <c r="Z4" s="193">
        <f t="shared" si="2"/>
        <v>102818.00954894509</v>
      </c>
      <c r="AA4" s="3"/>
      <c r="AB4" s="2">
        <f>+AB2*0.19</f>
        <v>4822.8966666666665</v>
      </c>
      <c r="AC4" s="2">
        <f t="shared" ref="AC4:AG4" si="5">+AC2*0.19</f>
        <v>18746.476666666669</v>
      </c>
      <c r="AD4" s="2">
        <f t="shared" si="5"/>
        <v>24014.86</v>
      </c>
      <c r="AE4" s="2">
        <f t="shared" si="5"/>
        <v>17437.566666666669</v>
      </c>
      <c r="AF4" s="2">
        <f t="shared" si="5"/>
        <v>54987.393333333333</v>
      </c>
      <c r="AG4" s="2">
        <f t="shared" si="5"/>
        <v>18503.72</v>
      </c>
    </row>
    <row r="5" spans="1:39" ht="15.75" thickBot="1" x14ac:dyDescent="0.3">
      <c r="A5" s="201"/>
      <c r="B5" s="201"/>
      <c r="C5" s="201"/>
      <c r="D5" s="6" t="s">
        <v>4</v>
      </c>
      <c r="E5" s="195">
        <f>+E2+E3+E4</f>
        <v>19177693.144664995</v>
      </c>
      <c r="F5" s="196">
        <f t="shared" ref="F5:Z5" si="6">+F2+F3+F4</f>
        <v>18829007.814762</v>
      </c>
      <c r="G5" s="196">
        <f t="shared" si="6"/>
        <v>18829007.814762</v>
      </c>
      <c r="H5" s="196">
        <f t="shared" si="6"/>
        <v>19352035.809616499</v>
      </c>
      <c r="I5" s="196">
        <f t="shared" ref="I5" si="7">+I2+I3+I4</f>
        <v>12552671.876507999</v>
      </c>
      <c r="J5" s="196">
        <f t="shared" si="6"/>
        <v>15063206.251809597</v>
      </c>
      <c r="K5" s="196">
        <f t="shared" si="6"/>
        <v>13314715.61842647</v>
      </c>
      <c r="L5" s="196">
        <f t="shared" si="6"/>
        <v>11652074.726967987</v>
      </c>
      <c r="M5" s="196">
        <f t="shared" si="6"/>
        <v>7768049.8179786587</v>
      </c>
      <c r="N5" s="196">
        <f t="shared" si="6"/>
        <v>9321659.7815743908</v>
      </c>
      <c r="O5" s="196">
        <f t="shared" ref="O5" si="8">+O2+O3+O4</f>
        <v>8271438.294503293</v>
      </c>
      <c r="P5" s="196">
        <f t="shared" si="6"/>
        <v>5514292.196335529</v>
      </c>
      <c r="Q5" s="196">
        <f t="shared" si="6"/>
        <v>6617150.6356026344</v>
      </c>
      <c r="R5" s="196">
        <f t="shared" si="6"/>
        <v>10557569.520258704</v>
      </c>
      <c r="S5" s="196">
        <f t="shared" si="6"/>
        <v>8446055.6162069663</v>
      </c>
      <c r="T5" s="196">
        <f t="shared" si="6"/>
        <v>10753080.066930162</v>
      </c>
      <c r="U5" s="196">
        <f t="shared" si="6"/>
        <v>7309839.2560864929</v>
      </c>
      <c r="V5" s="196">
        <f t="shared" si="6"/>
        <v>7176933.0877940105</v>
      </c>
      <c r="W5" s="196">
        <f t="shared" si="6"/>
        <v>4784622.0585293397</v>
      </c>
      <c r="X5" s="196">
        <f t="shared" si="6"/>
        <v>4411433.7570684226</v>
      </c>
      <c r="Y5" s="196">
        <f t="shared" si="6"/>
        <v>3676194.7975570192</v>
      </c>
      <c r="Z5" s="196">
        <f t="shared" si="6"/>
        <v>5514292.196335529</v>
      </c>
      <c r="AA5" s="3"/>
      <c r="AB5" s="2">
        <f>+AB2+AB4</f>
        <v>30206.563333333335</v>
      </c>
      <c r="AC5" s="2">
        <f>+AC2+AC4</f>
        <v>117412.14333333334</v>
      </c>
      <c r="AD5" s="2">
        <f t="shared" ref="AD5:AG5" si="9">+AD2+AD4</f>
        <v>150408.85999999999</v>
      </c>
      <c r="AE5" s="2">
        <f t="shared" si="9"/>
        <v>109214.23333333334</v>
      </c>
      <c r="AF5" s="2">
        <f t="shared" si="9"/>
        <v>344394.72666666663</v>
      </c>
      <c r="AG5" s="2">
        <f t="shared" si="9"/>
        <v>115891.72</v>
      </c>
    </row>
    <row r="6" spans="1:39" ht="108.75" thickBot="1" x14ac:dyDescent="0.3">
      <c r="A6" s="7" t="s">
        <v>5</v>
      </c>
      <c r="B6" s="8" t="s">
        <v>6</v>
      </c>
      <c r="C6" s="7" t="s">
        <v>7</v>
      </c>
      <c r="D6" s="9" t="s">
        <v>8</v>
      </c>
      <c r="E6" s="10" t="s">
        <v>9</v>
      </c>
      <c r="F6" s="11" t="s">
        <v>10</v>
      </c>
      <c r="G6" s="11" t="s">
        <v>11</v>
      </c>
      <c r="H6" s="11" t="s">
        <v>12</v>
      </c>
      <c r="I6" s="12" t="s">
        <v>13</v>
      </c>
      <c r="J6" s="12" t="s">
        <v>14</v>
      </c>
      <c r="K6" s="12" t="s">
        <v>273</v>
      </c>
      <c r="L6" s="11" t="s">
        <v>274</v>
      </c>
      <c r="M6" s="12" t="s">
        <v>275</v>
      </c>
      <c r="N6" s="11" t="s">
        <v>276</v>
      </c>
      <c r="O6" s="11" t="s">
        <v>19</v>
      </c>
      <c r="P6" s="11" t="s">
        <v>20</v>
      </c>
      <c r="Q6" s="11" t="s">
        <v>21</v>
      </c>
      <c r="R6" s="13" t="s">
        <v>277</v>
      </c>
      <c r="S6" s="14" t="s">
        <v>278</v>
      </c>
      <c r="T6" s="15" t="s">
        <v>24</v>
      </c>
      <c r="U6" s="11" t="s">
        <v>25</v>
      </c>
      <c r="V6" s="11" t="s">
        <v>26</v>
      </c>
      <c r="W6" s="12" t="s">
        <v>27</v>
      </c>
      <c r="X6" s="11" t="s">
        <v>28</v>
      </c>
      <c r="Y6" s="12" t="s">
        <v>29</v>
      </c>
      <c r="Z6" s="14" t="s">
        <v>30</v>
      </c>
      <c r="AA6" s="3"/>
      <c r="AB6" s="16" t="s">
        <v>31</v>
      </c>
      <c r="AC6" s="17" t="s">
        <v>32</v>
      </c>
      <c r="AD6" s="18" t="s">
        <v>33</v>
      </c>
      <c r="AE6" s="18" t="s">
        <v>34</v>
      </c>
      <c r="AF6" s="18" t="s">
        <v>35</v>
      </c>
      <c r="AG6" s="19" t="s">
        <v>36</v>
      </c>
    </row>
    <row r="7" spans="1:39" ht="27.75" thickBot="1" x14ac:dyDescent="0.3">
      <c r="A7" s="20" t="s">
        <v>37</v>
      </c>
      <c r="B7" s="21" t="s">
        <v>38</v>
      </c>
      <c r="C7" s="22" t="s">
        <v>39</v>
      </c>
      <c r="D7" s="22" t="s">
        <v>40</v>
      </c>
      <c r="E7" s="23">
        <v>0</v>
      </c>
      <c r="F7" s="23">
        <v>1</v>
      </c>
      <c r="G7" s="23">
        <v>0</v>
      </c>
      <c r="H7" s="23">
        <v>0</v>
      </c>
      <c r="I7" s="24">
        <v>0</v>
      </c>
      <c r="J7" s="24">
        <v>0</v>
      </c>
      <c r="K7" s="24">
        <v>0</v>
      </c>
      <c r="L7" s="23">
        <v>0</v>
      </c>
      <c r="M7" s="24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4">
        <v>0</v>
      </c>
      <c r="T7" s="23">
        <v>0</v>
      </c>
      <c r="U7" s="23">
        <v>0</v>
      </c>
      <c r="V7" s="23">
        <v>0</v>
      </c>
      <c r="W7" s="24">
        <v>0</v>
      </c>
      <c r="X7" s="23">
        <v>0</v>
      </c>
      <c r="Y7" s="24">
        <v>0</v>
      </c>
      <c r="Z7" s="25">
        <v>0</v>
      </c>
      <c r="AA7" s="3"/>
      <c r="AB7" s="26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</row>
    <row r="8" spans="1:39" ht="15.75" thickBot="1" x14ac:dyDescent="0.3">
      <c r="A8" s="28" t="s">
        <v>37</v>
      </c>
      <c r="B8" s="29" t="s">
        <v>41</v>
      </c>
      <c r="C8" s="30" t="s">
        <v>42</v>
      </c>
      <c r="D8" s="30" t="s">
        <v>40</v>
      </c>
      <c r="E8" s="31">
        <v>0</v>
      </c>
      <c r="F8" s="31">
        <v>2</v>
      </c>
      <c r="G8" s="31">
        <v>1</v>
      </c>
      <c r="H8" s="31">
        <v>0</v>
      </c>
      <c r="I8" s="32">
        <v>0</v>
      </c>
      <c r="J8" s="32">
        <v>0</v>
      </c>
      <c r="K8" s="24">
        <v>0</v>
      </c>
      <c r="L8" s="31">
        <v>0</v>
      </c>
      <c r="M8" s="32">
        <v>0</v>
      </c>
      <c r="N8" s="31">
        <v>0</v>
      </c>
      <c r="O8" s="31">
        <v>0</v>
      </c>
      <c r="P8" s="31">
        <v>0</v>
      </c>
      <c r="Q8" s="31">
        <v>5</v>
      </c>
      <c r="R8" s="31">
        <v>0</v>
      </c>
      <c r="S8" s="32">
        <v>0</v>
      </c>
      <c r="T8" s="31">
        <v>0</v>
      </c>
      <c r="U8" s="31">
        <v>0</v>
      </c>
      <c r="V8" s="31">
        <v>0</v>
      </c>
      <c r="W8" s="32">
        <v>0</v>
      </c>
      <c r="X8" s="31">
        <v>0</v>
      </c>
      <c r="Y8" s="32">
        <v>0</v>
      </c>
      <c r="Z8" s="33">
        <v>0</v>
      </c>
      <c r="AA8" s="3"/>
      <c r="AB8" s="26">
        <v>30</v>
      </c>
      <c r="AC8" s="26">
        <v>0</v>
      </c>
      <c r="AD8" s="26">
        <v>2</v>
      </c>
      <c r="AE8" s="26">
        <v>2</v>
      </c>
      <c r="AF8" s="26">
        <v>1</v>
      </c>
      <c r="AG8" s="26">
        <v>4</v>
      </c>
    </row>
    <row r="9" spans="1:39" ht="27.75" thickBot="1" x14ac:dyDescent="0.3">
      <c r="A9" s="28" t="s">
        <v>37</v>
      </c>
      <c r="B9" s="29" t="s">
        <v>43</v>
      </c>
      <c r="C9" s="30" t="s">
        <v>44</v>
      </c>
      <c r="D9" s="30" t="s">
        <v>40</v>
      </c>
      <c r="E9" s="31">
        <v>0</v>
      </c>
      <c r="F9" s="31">
        <v>3</v>
      </c>
      <c r="G9" s="31">
        <v>0</v>
      </c>
      <c r="H9" s="31">
        <v>0</v>
      </c>
      <c r="I9" s="32">
        <v>0</v>
      </c>
      <c r="J9" s="32">
        <v>0</v>
      </c>
      <c r="K9" s="24">
        <v>0</v>
      </c>
      <c r="L9" s="31">
        <v>0</v>
      </c>
      <c r="M9" s="32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2">
        <v>0</v>
      </c>
      <c r="T9" s="31">
        <v>0</v>
      </c>
      <c r="U9" s="31">
        <v>0</v>
      </c>
      <c r="V9" s="31">
        <v>0</v>
      </c>
      <c r="W9" s="32">
        <v>0</v>
      </c>
      <c r="X9" s="31">
        <v>0</v>
      </c>
      <c r="Y9" s="32">
        <v>0</v>
      </c>
      <c r="Z9" s="33">
        <v>0</v>
      </c>
      <c r="AA9" s="3"/>
      <c r="AB9" s="26">
        <f>30-2</f>
        <v>28</v>
      </c>
      <c r="AC9" s="26"/>
      <c r="AD9" s="26">
        <v>2</v>
      </c>
      <c r="AE9" s="26">
        <v>2</v>
      </c>
      <c r="AF9" s="26">
        <v>1</v>
      </c>
      <c r="AG9" s="26">
        <v>4</v>
      </c>
    </row>
    <row r="10" spans="1:39" ht="27.75" thickBot="1" x14ac:dyDescent="0.3">
      <c r="A10" s="28" t="s">
        <v>37</v>
      </c>
      <c r="B10" s="29" t="s">
        <v>45</v>
      </c>
      <c r="C10" s="30" t="s">
        <v>46</v>
      </c>
      <c r="D10" s="30" t="s">
        <v>40</v>
      </c>
      <c r="E10" s="31">
        <v>0</v>
      </c>
      <c r="F10" s="31">
        <v>3</v>
      </c>
      <c r="G10" s="31">
        <v>0</v>
      </c>
      <c r="H10" s="31">
        <v>0</v>
      </c>
      <c r="I10" s="32">
        <v>0</v>
      </c>
      <c r="J10" s="32">
        <v>0</v>
      </c>
      <c r="K10" s="24">
        <v>0</v>
      </c>
      <c r="L10" s="31">
        <v>0</v>
      </c>
      <c r="M10" s="32">
        <v>0</v>
      </c>
      <c r="N10" s="31">
        <v>1</v>
      </c>
      <c r="O10" s="31">
        <v>0</v>
      </c>
      <c r="P10" s="31">
        <v>0</v>
      </c>
      <c r="Q10" s="31">
        <v>0</v>
      </c>
      <c r="R10" s="31">
        <v>0</v>
      </c>
      <c r="S10" s="32">
        <v>0</v>
      </c>
      <c r="T10" s="31">
        <v>0</v>
      </c>
      <c r="U10" s="31">
        <v>0</v>
      </c>
      <c r="V10" s="31">
        <v>0</v>
      </c>
      <c r="W10" s="32">
        <v>0</v>
      </c>
      <c r="X10" s="31">
        <v>0</v>
      </c>
      <c r="Y10" s="32">
        <v>0</v>
      </c>
      <c r="Z10" s="33">
        <v>0</v>
      </c>
      <c r="AA10" s="3"/>
      <c r="AB10" s="26">
        <v>16</v>
      </c>
      <c r="AC10" s="26">
        <v>0</v>
      </c>
      <c r="AD10" s="26">
        <v>1</v>
      </c>
      <c r="AE10" s="26">
        <v>1</v>
      </c>
      <c r="AF10" s="26">
        <v>0</v>
      </c>
      <c r="AG10" s="26">
        <v>0</v>
      </c>
    </row>
    <row r="11" spans="1:39" ht="27.75" thickBot="1" x14ac:dyDescent="0.3">
      <c r="A11" s="28" t="s">
        <v>37</v>
      </c>
      <c r="B11" s="29" t="s">
        <v>47</v>
      </c>
      <c r="C11" s="30" t="s">
        <v>48</v>
      </c>
      <c r="D11" s="30" t="s">
        <v>40</v>
      </c>
      <c r="E11" s="31">
        <v>0</v>
      </c>
      <c r="F11" s="31">
        <v>4</v>
      </c>
      <c r="G11" s="31">
        <v>0</v>
      </c>
      <c r="H11" s="31">
        <v>0</v>
      </c>
      <c r="I11" s="32">
        <v>0</v>
      </c>
      <c r="J11" s="32">
        <v>0</v>
      </c>
      <c r="K11" s="24">
        <v>0</v>
      </c>
      <c r="L11" s="31">
        <v>0</v>
      </c>
      <c r="M11" s="32">
        <v>0</v>
      </c>
      <c r="N11" s="31">
        <v>1</v>
      </c>
      <c r="O11" s="31">
        <v>0</v>
      </c>
      <c r="P11" s="31">
        <v>0</v>
      </c>
      <c r="Q11" s="31">
        <v>0</v>
      </c>
      <c r="R11" s="31">
        <v>0</v>
      </c>
      <c r="S11" s="32">
        <v>0</v>
      </c>
      <c r="T11" s="31">
        <v>0</v>
      </c>
      <c r="U11" s="31">
        <v>0</v>
      </c>
      <c r="V11" s="31">
        <v>0</v>
      </c>
      <c r="W11" s="32">
        <v>0</v>
      </c>
      <c r="X11" s="31">
        <v>0</v>
      </c>
      <c r="Y11" s="32">
        <v>0</v>
      </c>
      <c r="Z11" s="33">
        <v>0</v>
      </c>
      <c r="AA11" s="3"/>
      <c r="AB11" s="26">
        <v>8</v>
      </c>
      <c r="AC11" s="26">
        <v>0</v>
      </c>
      <c r="AD11" s="26">
        <v>1</v>
      </c>
      <c r="AE11" s="26">
        <v>1</v>
      </c>
      <c r="AF11" s="26">
        <v>0</v>
      </c>
      <c r="AG11" s="26">
        <v>0</v>
      </c>
    </row>
    <row r="12" spans="1:39" ht="27.75" thickBot="1" x14ac:dyDescent="0.3">
      <c r="A12" s="28" t="s">
        <v>37</v>
      </c>
      <c r="B12" s="29" t="s">
        <v>49</v>
      </c>
      <c r="C12" s="30" t="s">
        <v>50</v>
      </c>
      <c r="D12" s="30" t="s">
        <v>40</v>
      </c>
      <c r="E12" s="31">
        <v>0</v>
      </c>
      <c r="F12" s="31">
        <v>3</v>
      </c>
      <c r="G12" s="31">
        <v>0</v>
      </c>
      <c r="H12" s="31">
        <v>0</v>
      </c>
      <c r="I12" s="32">
        <v>0</v>
      </c>
      <c r="J12" s="32">
        <v>0</v>
      </c>
      <c r="K12" s="24">
        <v>0</v>
      </c>
      <c r="L12" s="31">
        <v>0</v>
      </c>
      <c r="M12" s="32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2">
        <v>0</v>
      </c>
      <c r="T12" s="31">
        <v>0</v>
      </c>
      <c r="U12" s="31">
        <v>0</v>
      </c>
      <c r="V12" s="31">
        <v>0</v>
      </c>
      <c r="W12" s="32">
        <v>0</v>
      </c>
      <c r="X12" s="31">
        <v>0</v>
      </c>
      <c r="Y12" s="32">
        <v>0</v>
      </c>
      <c r="Z12" s="33">
        <v>0</v>
      </c>
      <c r="AA12" s="3"/>
      <c r="AB12" s="26">
        <v>4</v>
      </c>
      <c r="AC12" s="26">
        <v>0</v>
      </c>
      <c r="AD12" s="26">
        <v>1</v>
      </c>
      <c r="AE12" s="26">
        <v>1</v>
      </c>
      <c r="AF12" s="26">
        <v>0</v>
      </c>
      <c r="AG12" s="26">
        <v>0</v>
      </c>
    </row>
    <row r="13" spans="1:39" ht="27.75" thickBot="1" x14ac:dyDescent="0.3">
      <c r="A13" s="28" t="s">
        <v>37</v>
      </c>
      <c r="B13" s="34" t="s">
        <v>51</v>
      </c>
      <c r="C13" s="30" t="s">
        <v>52</v>
      </c>
      <c r="D13" s="30" t="s">
        <v>53</v>
      </c>
      <c r="E13" s="31">
        <v>0</v>
      </c>
      <c r="F13" s="31">
        <v>3</v>
      </c>
      <c r="G13" s="31">
        <v>0</v>
      </c>
      <c r="H13" s="31">
        <v>0</v>
      </c>
      <c r="I13" s="32">
        <v>0</v>
      </c>
      <c r="J13" s="32">
        <v>0</v>
      </c>
      <c r="K13" s="24">
        <v>0</v>
      </c>
      <c r="L13" s="31">
        <v>0</v>
      </c>
      <c r="M13" s="32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2">
        <v>0</v>
      </c>
      <c r="T13" s="31">
        <v>0</v>
      </c>
      <c r="U13" s="31">
        <v>0</v>
      </c>
      <c r="V13" s="31">
        <v>0</v>
      </c>
      <c r="W13" s="32">
        <v>0</v>
      </c>
      <c r="X13" s="31">
        <v>0</v>
      </c>
      <c r="Y13" s="32">
        <v>0</v>
      </c>
      <c r="Z13" s="33">
        <v>0</v>
      </c>
      <c r="AA13" s="3"/>
      <c r="AB13" s="26">
        <v>8</v>
      </c>
      <c r="AC13" s="26"/>
      <c r="AD13" s="26">
        <v>1</v>
      </c>
      <c r="AE13" s="26">
        <v>1</v>
      </c>
      <c r="AF13" s="26"/>
      <c r="AG13" s="26">
        <v>1</v>
      </c>
    </row>
    <row r="14" spans="1:39" ht="27.75" thickBot="1" x14ac:dyDescent="0.3">
      <c r="A14" s="28" t="s">
        <v>37</v>
      </c>
      <c r="B14" s="29" t="s">
        <v>54</v>
      </c>
      <c r="C14" s="30" t="s">
        <v>55</v>
      </c>
      <c r="D14" s="30" t="s">
        <v>40</v>
      </c>
      <c r="E14" s="31">
        <v>0</v>
      </c>
      <c r="F14" s="31">
        <v>3</v>
      </c>
      <c r="G14" s="31">
        <v>0</v>
      </c>
      <c r="H14" s="31">
        <v>0</v>
      </c>
      <c r="I14" s="32">
        <v>0</v>
      </c>
      <c r="J14" s="32">
        <v>0</v>
      </c>
      <c r="K14" s="24">
        <v>0</v>
      </c>
      <c r="L14" s="31">
        <v>0</v>
      </c>
      <c r="M14" s="32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2">
        <v>0</v>
      </c>
      <c r="T14" s="31">
        <v>0</v>
      </c>
      <c r="U14" s="31">
        <v>0</v>
      </c>
      <c r="V14" s="31">
        <v>0</v>
      </c>
      <c r="W14" s="32">
        <v>0</v>
      </c>
      <c r="X14" s="31">
        <v>0</v>
      </c>
      <c r="Y14" s="32">
        <v>0</v>
      </c>
      <c r="Z14" s="33">
        <v>0</v>
      </c>
      <c r="AA14" s="3"/>
      <c r="AB14" s="26">
        <v>10</v>
      </c>
      <c r="AC14" s="26">
        <v>2</v>
      </c>
      <c r="AD14" s="26">
        <v>1</v>
      </c>
      <c r="AE14" s="26">
        <v>1</v>
      </c>
      <c r="AF14" s="26">
        <v>1</v>
      </c>
      <c r="AG14" s="26">
        <v>1</v>
      </c>
    </row>
    <row r="15" spans="1:39" ht="27.75" thickBot="1" x14ac:dyDescent="0.3">
      <c r="A15" s="28" t="s">
        <v>37</v>
      </c>
      <c r="B15" s="29" t="s">
        <v>56</v>
      </c>
      <c r="C15" s="30" t="s">
        <v>57</v>
      </c>
      <c r="D15" s="30" t="s">
        <v>58</v>
      </c>
      <c r="E15" s="31">
        <v>0</v>
      </c>
      <c r="F15" s="31">
        <v>2</v>
      </c>
      <c r="G15" s="31">
        <v>0</v>
      </c>
      <c r="H15" s="31">
        <v>0</v>
      </c>
      <c r="I15" s="32">
        <v>0</v>
      </c>
      <c r="J15" s="32">
        <v>0</v>
      </c>
      <c r="K15" s="24">
        <v>0</v>
      </c>
      <c r="L15" s="31">
        <v>0</v>
      </c>
      <c r="M15" s="32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2">
        <v>0</v>
      </c>
      <c r="T15" s="31">
        <v>0</v>
      </c>
      <c r="U15" s="31">
        <v>0</v>
      </c>
      <c r="V15" s="31">
        <v>0</v>
      </c>
      <c r="W15" s="32">
        <v>0</v>
      </c>
      <c r="X15" s="31">
        <v>0</v>
      </c>
      <c r="Y15" s="32">
        <v>0</v>
      </c>
      <c r="Z15" s="33">
        <v>0</v>
      </c>
      <c r="AA15" s="3"/>
      <c r="AB15" s="26">
        <v>4</v>
      </c>
      <c r="AC15" s="26">
        <v>0</v>
      </c>
      <c r="AD15" s="26">
        <v>1</v>
      </c>
      <c r="AE15" s="26">
        <v>1</v>
      </c>
      <c r="AF15" s="26">
        <v>0</v>
      </c>
      <c r="AG15" s="26">
        <v>1</v>
      </c>
    </row>
    <row r="16" spans="1:39" ht="27.75" thickBot="1" x14ac:dyDescent="0.3">
      <c r="A16" s="28" t="s">
        <v>37</v>
      </c>
      <c r="B16" s="34" t="s">
        <v>51</v>
      </c>
      <c r="C16" s="30" t="s">
        <v>59</v>
      </c>
      <c r="D16" s="30" t="s">
        <v>60</v>
      </c>
      <c r="E16" s="31">
        <v>0</v>
      </c>
      <c r="F16" s="31">
        <v>3</v>
      </c>
      <c r="G16" s="31">
        <v>0</v>
      </c>
      <c r="H16" s="31">
        <v>0</v>
      </c>
      <c r="I16" s="32">
        <v>0</v>
      </c>
      <c r="J16" s="32">
        <v>0</v>
      </c>
      <c r="K16" s="24">
        <v>0</v>
      </c>
      <c r="L16" s="31">
        <v>1</v>
      </c>
      <c r="M16" s="32">
        <v>0</v>
      </c>
      <c r="N16" s="31">
        <v>0</v>
      </c>
      <c r="O16" s="31">
        <v>0</v>
      </c>
      <c r="P16" s="31">
        <v>0</v>
      </c>
      <c r="Q16" s="31">
        <v>0</v>
      </c>
      <c r="R16" s="31">
        <v>1</v>
      </c>
      <c r="S16" s="32">
        <v>0</v>
      </c>
      <c r="T16" s="31">
        <v>0</v>
      </c>
      <c r="U16" s="31">
        <v>0</v>
      </c>
      <c r="V16" s="31">
        <v>0</v>
      </c>
      <c r="W16" s="32">
        <v>0</v>
      </c>
      <c r="X16" s="31">
        <v>0</v>
      </c>
      <c r="Y16" s="32">
        <v>0</v>
      </c>
      <c r="Z16" s="33">
        <v>0</v>
      </c>
      <c r="AA16" s="3"/>
      <c r="AB16" s="35">
        <f>28</f>
        <v>28</v>
      </c>
      <c r="AC16" s="35">
        <v>4</v>
      </c>
      <c r="AD16" s="35">
        <v>1</v>
      </c>
      <c r="AE16" s="35">
        <v>1</v>
      </c>
      <c r="AF16" s="35">
        <v>1</v>
      </c>
      <c r="AG16" s="35">
        <f>4-4</f>
        <v>0</v>
      </c>
    </row>
    <row r="17" spans="1:33" ht="41.25" thickBot="1" x14ac:dyDescent="0.3">
      <c r="A17" s="28" t="s">
        <v>37</v>
      </c>
      <c r="B17" s="29" t="s">
        <v>61</v>
      </c>
      <c r="C17" s="30" t="s">
        <v>62</v>
      </c>
      <c r="D17" s="30" t="s">
        <v>60</v>
      </c>
      <c r="E17" s="31">
        <v>2</v>
      </c>
      <c r="F17" s="31">
        <v>3</v>
      </c>
      <c r="G17" s="31">
        <v>0</v>
      </c>
      <c r="H17" s="31">
        <v>0</v>
      </c>
      <c r="I17" s="32">
        <v>0</v>
      </c>
      <c r="J17" s="32">
        <v>0</v>
      </c>
      <c r="K17" s="24">
        <v>0</v>
      </c>
      <c r="L17" s="31">
        <v>0</v>
      </c>
      <c r="M17" s="32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2">
        <v>0</v>
      </c>
      <c r="T17" s="31">
        <v>0</v>
      </c>
      <c r="U17" s="31">
        <v>0</v>
      </c>
      <c r="V17" s="31">
        <v>0</v>
      </c>
      <c r="W17" s="32">
        <v>0</v>
      </c>
      <c r="X17" s="31">
        <v>0</v>
      </c>
      <c r="Y17" s="32">
        <v>0</v>
      </c>
      <c r="Z17" s="33">
        <v>0</v>
      </c>
      <c r="AA17" s="3"/>
      <c r="AB17" s="35">
        <v>32</v>
      </c>
      <c r="AC17" s="35">
        <v>5</v>
      </c>
      <c r="AD17" s="35">
        <v>3</v>
      </c>
      <c r="AE17" s="35">
        <v>3</v>
      </c>
      <c r="AF17" s="35">
        <v>1</v>
      </c>
      <c r="AG17" s="35">
        <f>3-3</f>
        <v>0</v>
      </c>
    </row>
    <row r="18" spans="1:33" ht="31.5" customHeight="1" thickBot="1" x14ac:dyDescent="0.3">
      <c r="A18" s="28" t="s">
        <v>37</v>
      </c>
      <c r="B18" s="34" t="s">
        <v>51</v>
      </c>
      <c r="C18" s="30" t="s">
        <v>63</v>
      </c>
      <c r="D18" s="30" t="s">
        <v>64</v>
      </c>
      <c r="E18" s="31">
        <v>0</v>
      </c>
      <c r="F18" s="31">
        <v>2</v>
      </c>
      <c r="G18" s="31">
        <v>0</v>
      </c>
      <c r="H18" s="31">
        <v>0</v>
      </c>
      <c r="I18" s="32">
        <v>0</v>
      </c>
      <c r="J18" s="32">
        <v>0</v>
      </c>
      <c r="K18" s="24">
        <v>0</v>
      </c>
      <c r="L18" s="31">
        <v>0</v>
      </c>
      <c r="M18" s="32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2">
        <v>0</v>
      </c>
      <c r="T18" s="31">
        <v>0</v>
      </c>
      <c r="U18" s="31">
        <v>0</v>
      </c>
      <c r="V18" s="31">
        <v>0</v>
      </c>
      <c r="W18" s="32">
        <v>0</v>
      </c>
      <c r="X18" s="31">
        <v>0</v>
      </c>
      <c r="Y18" s="32">
        <v>0</v>
      </c>
      <c r="Z18" s="33">
        <v>0</v>
      </c>
      <c r="AA18" s="3"/>
      <c r="AB18" s="26">
        <v>4</v>
      </c>
      <c r="AC18" s="26"/>
      <c r="AD18" s="26">
        <v>1</v>
      </c>
      <c r="AE18" s="26"/>
      <c r="AF18" s="26"/>
      <c r="AG18" s="26">
        <v>1</v>
      </c>
    </row>
    <row r="19" spans="1:33" ht="41.25" thickBot="1" x14ac:dyDescent="0.3">
      <c r="A19" s="28" t="s">
        <v>37</v>
      </c>
      <c r="B19" s="29" t="s">
        <v>65</v>
      </c>
      <c r="C19" s="30" t="s">
        <v>66</v>
      </c>
      <c r="D19" s="30" t="s">
        <v>40</v>
      </c>
      <c r="E19" s="31">
        <v>0</v>
      </c>
      <c r="F19" s="31">
        <v>2</v>
      </c>
      <c r="G19" s="31">
        <v>0</v>
      </c>
      <c r="H19" s="31">
        <v>0</v>
      </c>
      <c r="I19" s="32">
        <v>0</v>
      </c>
      <c r="J19" s="32">
        <v>0</v>
      </c>
      <c r="K19" s="24">
        <v>0</v>
      </c>
      <c r="L19" s="31">
        <v>0</v>
      </c>
      <c r="M19" s="32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2">
        <v>0</v>
      </c>
      <c r="T19" s="31">
        <v>0</v>
      </c>
      <c r="U19" s="31">
        <v>0</v>
      </c>
      <c r="V19" s="31">
        <v>0</v>
      </c>
      <c r="W19" s="32">
        <v>0</v>
      </c>
      <c r="X19" s="31">
        <v>0</v>
      </c>
      <c r="Y19" s="32">
        <v>0</v>
      </c>
      <c r="Z19" s="33">
        <v>0</v>
      </c>
      <c r="AA19" s="3"/>
      <c r="AB19" s="35">
        <v>8</v>
      </c>
      <c r="AC19" s="35">
        <v>0</v>
      </c>
      <c r="AD19" s="35">
        <v>1</v>
      </c>
      <c r="AE19" s="35">
        <v>1</v>
      </c>
      <c r="AF19" s="35">
        <v>0</v>
      </c>
      <c r="AG19" s="35">
        <f>1-1</f>
        <v>0</v>
      </c>
    </row>
    <row r="20" spans="1:33" ht="15.75" thickBot="1" x14ac:dyDescent="0.3">
      <c r="A20" s="28" t="s">
        <v>37</v>
      </c>
      <c r="B20" s="29" t="s">
        <v>67</v>
      </c>
      <c r="C20" s="36" t="s">
        <v>68</v>
      </c>
      <c r="D20" s="30" t="s">
        <v>40</v>
      </c>
      <c r="E20" s="31">
        <v>0</v>
      </c>
      <c r="F20" s="31">
        <v>2</v>
      </c>
      <c r="G20" s="31">
        <v>0</v>
      </c>
      <c r="H20" s="31">
        <v>0</v>
      </c>
      <c r="I20" s="32">
        <v>0</v>
      </c>
      <c r="J20" s="32">
        <v>0</v>
      </c>
      <c r="K20" s="24">
        <v>0</v>
      </c>
      <c r="L20" s="31">
        <v>1</v>
      </c>
      <c r="M20" s="32">
        <v>0</v>
      </c>
      <c r="N20" s="31">
        <v>0</v>
      </c>
      <c r="O20" s="31">
        <v>0</v>
      </c>
      <c r="P20" s="31">
        <v>0</v>
      </c>
      <c r="Q20" s="31">
        <v>1</v>
      </c>
      <c r="R20" s="31">
        <v>0</v>
      </c>
      <c r="S20" s="32">
        <v>0</v>
      </c>
      <c r="T20" s="31">
        <v>0</v>
      </c>
      <c r="U20" s="31">
        <v>0</v>
      </c>
      <c r="V20" s="31">
        <v>0</v>
      </c>
      <c r="W20" s="32">
        <v>0</v>
      </c>
      <c r="X20" s="31">
        <v>0</v>
      </c>
      <c r="Y20" s="32">
        <v>0</v>
      </c>
      <c r="Z20" s="33">
        <v>0</v>
      </c>
      <c r="AA20" s="3"/>
      <c r="AB20" s="26">
        <f>41-8</f>
        <v>33</v>
      </c>
      <c r="AC20" s="26">
        <v>1</v>
      </c>
      <c r="AD20" s="26">
        <v>2</v>
      </c>
      <c r="AE20" s="26">
        <v>2</v>
      </c>
      <c r="AF20" s="26">
        <v>1</v>
      </c>
      <c r="AG20" s="26">
        <v>4</v>
      </c>
    </row>
    <row r="21" spans="1:33" ht="27.75" thickBot="1" x14ac:dyDescent="0.3">
      <c r="A21" s="28" t="s">
        <v>37</v>
      </c>
      <c r="B21" s="29" t="s">
        <v>69</v>
      </c>
      <c r="C21" s="30" t="s">
        <v>70</v>
      </c>
      <c r="D21" s="30" t="s">
        <v>40</v>
      </c>
      <c r="E21" s="31">
        <v>0</v>
      </c>
      <c r="F21" s="31">
        <v>2</v>
      </c>
      <c r="G21" s="31">
        <v>0</v>
      </c>
      <c r="H21" s="31">
        <v>0</v>
      </c>
      <c r="I21" s="32">
        <v>0</v>
      </c>
      <c r="J21" s="32">
        <v>0</v>
      </c>
      <c r="K21" s="24">
        <v>0</v>
      </c>
      <c r="L21" s="31">
        <v>0</v>
      </c>
      <c r="M21" s="32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2">
        <v>0</v>
      </c>
      <c r="T21" s="31">
        <v>0</v>
      </c>
      <c r="U21" s="31">
        <v>0</v>
      </c>
      <c r="V21" s="31">
        <v>1</v>
      </c>
      <c r="W21" s="32">
        <v>0</v>
      </c>
      <c r="X21" s="31">
        <v>0</v>
      </c>
      <c r="Y21" s="32">
        <v>0</v>
      </c>
      <c r="Z21" s="33">
        <v>0</v>
      </c>
      <c r="AA21" s="3"/>
      <c r="AB21" s="26">
        <f>15</f>
        <v>15</v>
      </c>
      <c r="AC21" s="26">
        <v>0</v>
      </c>
      <c r="AD21" s="26">
        <v>1</v>
      </c>
      <c r="AE21" s="26">
        <v>1</v>
      </c>
      <c r="AF21" s="26">
        <v>1</v>
      </c>
      <c r="AG21" s="26">
        <v>4</v>
      </c>
    </row>
    <row r="22" spans="1:33" ht="27.75" thickBot="1" x14ac:dyDescent="0.3">
      <c r="A22" s="28" t="s">
        <v>37</v>
      </c>
      <c r="B22" s="29" t="s">
        <v>71</v>
      </c>
      <c r="C22" s="36" t="s">
        <v>72</v>
      </c>
      <c r="D22" s="30" t="s">
        <v>40</v>
      </c>
      <c r="E22" s="31">
        <v>0</v>
      </c>
      <c r="F22" s="31">
        <v>2</v>
      </c>
      <c r="G22" s="31">
        <v>0</v>
      </c>
      <c r="H22" s="31">
        <v>0</v>
      </c>
      <c r="I22" s="32">
        <v>0</v>
      </c>
      <c r="J22" s="32">
        <v>0</v>
      </c>
      <c r="K22" s="24">
        <v>0</v>
      </c>
      <c r="L22" s="31">
        <v>2</v>
      </c>
      <c r="M22" s="32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2">
        <v>0</v>
      </c>
      <c r="T22" s="31">
        <v>0</v>
      </c>
      <c r="U22" s="31">
        <v>0</v>
      </c>
      <c r="V22" s="31">
        <v>0</v>
      </c>
      <c r="W22" s="32">
        <v>0</v>
      </c>
      <c r="X22" s="31">
        <v>0</v>
      </c>
      <c r="Y22" s="32">
        <v>0</v>
      </c>
      <c r="Z22" s="33">
        <v>0</v>
      </c>
      <c r="AA22" s="3"/>
      <c r="AB22" s="26">
        <v>5</v>
      </c>
      <c r="AC22" s="26">
        <v>0</v>
      </c>
      <c r="AD22" s="26">
        <v>1</v>
      </c>
      <c r="AE22" s="26">
        <v>1</v>
      </c>
      <c r="AF22" s="26">
        <v>0</v>
      </c>
      <c r="AG22" s="26">
        <v>0</v>
      </c>
    </row>
    <row r="23" spans="1:33" ht="27.75" thickBot="1" x14ac:dyDescent="0.3">
      <c r="A23" s="28" t="s">
        <v>37</v>
      </c>
      <c r="B23" s="29" t="s">
        <v>73</v>
      </c>
      <c r="C23" s="30" t="s">
        <v>74</v>
      </c>
      <c r="D23" s="30" t="s">
        <v>40</v>
      </c>
      <c r="E23" s="31">
        <v>0</v>
      </c>
      <c r="F23" s="31">
        <v>2</v>
      </c>
      <c r="G23" s="31">
        <v>0</v>
      </c>
      <c r="H23" s="31">
        <v>0</v>
      </c>
      <c r="I23" s="32">
        <v>0</v>
      </c>
      <c r="J23" s="32">
        <v>0</v>
      </c>
      <c r="K23" s="24">
        <v>0</v>
      </c>
      <c r="L23" s="31">
        <v>0</v>
      </c>
      <c r="M23" s="32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2">
        <v>0</v>
      </c>
      <c r="T23" s="31">
        <v>0</v>
      </c>
      <c r="U23" s="31">
        <v>0</v>
      </c>
      <c r="V23" s="31">
        <v>0</v>
      </c>
      <c r="W23" s="32">
        <v>0</v>
      </c>
      <c r="X23" s="31">
        <v>0</v>
      </c>
      <c r="Y23" s="32">
        <v>0</v>
      </c>
      <c r="Z23" s="33">
        <v>0</v>
      </c>
      <c r="AA23" s="3"/>
      <c r="AB23" s="26">
        <v>13</v>
      </c>
      <c r="AC23" s="26">
        <v>0</v>
      </c>
      <c r="AD23" s="26">
        <v>1</v>
      </c>
      <c r="AE23" s="26">
        <v>1</v>
      </c>
      <c r="AF23" s="26">
        <v>1</v>
      </c>
      <c r="AG23" s="26">
        <v>2</v>
      </c>
    </row>
    <row r="24" spans="1:33" ht="27.75" thickBot="1" x14ac:dyDescent="0.3">
      <c r="A24" s="28" t="s">
        <v>37</v>
      </c>
      <c r="B24" s="29" t="s">
        <v>75</v>
      </c>
      <c r="C24" s="37" t="s">
        <v>76</v>
      </c>
      <c r="D24" s="30" t="s">
        <v>77</v>
      </c>
      <c r="E24" s="31">
        <v>0</v>
      </c>
      <c r="F24" s="31">
        <v>0</v>
      </c>
      <c r="G24" s="31">
        <v>0</v>
      </c>
      <c r="H24" s="31">
        <v>0</v>
      </c>
      <c r="I24" s="32">
        <v>0</v>
      </c>
      <c r="J24" s="32">
        <v>0</v>
      </c>
      <c r="K24" s="24">
        <v>0</v>
      </c>
      <c r="L24" s="31">
        <v>0</v>
      </c>
      <c r="M24" s="32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2">
        <v>0</v>
      </c>
      <c r="T24" s="31">
        <v>0</v>
      </c>
      <c r="U24" s="31">
        <v>0</v>
      </c>
      <c r="V24" s="31">
        <v>0</v>
      </c>
      <c r="W24" s="32">
        <v>0</v>
      </c>
      <c r="X24" s="31">
        <v>0</v>
      </c>
      <c r="Y24" s="32">
        <v>0</v>
      </c>
      <c r="Z24" s="33">
        <v>0</v>
      </c>
      <c r="AA24" s="3"/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</row>
    <row r="25" spans="1:33" ht="27.75" thickBot="1" x14ac:dyDescent="0.3">
      <c r="A25" s="28" t="s">
        <v>37</v>
      </c>
      <c r="B25" s="34" t="s">
        <v>78</v>
      </c>
      <c r="C25" s="37" t="s">
        <v>76</v>
      </c>
      <c r="D25" s="30" t="s">
        <v>77</v>
      </c>
      <c r="E25" s="31">
        <v>0</v>
      </c>
      <c r="F25" s="31">
        <v>3</v>
      </c>
      <c r="G25" s="31">
        <v>1</v>
      </c>
      <c r="H25" s="31">
        <v>0</v>
      </c>
      <c r="I25" s="32">
        <v>0</v>
      </c>
      <c r="J25" s="32">
        <v>0</v>
      </c>
      <c r="K25" s="24">
        <v>0</v>
      </c>
      <c r="L25" s="31">
        <v>0</v>
      </c>
      <c r="M25" s="32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2">
        <v>0</v>
      </c>
      <c r="T25" s="31">
        <v>0</v>
      </c>
      <c r="U25" s="31">
        <v>0</v>
      </c>
      <c r="V25" s="31">
        <v>0</v>
      </c>
      <c r="W25" s="32">
        <v>0</v>
      </c>
      <c r="X25" s="31">
        <v>0</v>
      </c>
      <c r="Y25" s="32">
        <v>0</v>
      </c>
      <c r="Z25" s="33">
        <v>0</v>
      </c>
      <c r="AA25" s="3"/>
      <c r="AB25" s="26">
        <v>25</v>
      </c>
      <c r="AC25" s="26">
        <v>0</v>
      </c>
      <c r="AD25" s="26">
        <v>2</v>
      </c>
      <c r="AE25" s="26">
        <v>2</v>
      </c>
      <c r="AF25" s="26">
        <v>1</v>
      </c>
      <c r="AG25" s="26">
        <v>2</v>
      </c>
    </row>
    <row r="26" spans="1:33" ht="41.25" thickBot="1" x14ac:dyDescent="0.3">
      <c r="A26" s="28" t="s">
        <v>37</v>
      </c>
      <c r="B26" s="34" t="s">
        <v>79</v>
      </c>
      <c r="C26" s="37" t="s">
        <v>80</v>
      </c>
      <c r="D26" s="30" t="s">
        <v>81</v>
      </c>
      <c r="E26" s="31">
        <v>0</v>
      </c>
      <c r="F26" s="31">
        <v>1</v>
      </c>
      <c r="G26" s="31">
        <v>0</v>
      </c>
      <c r="H26" s="31">
        <v>0</v>
      </c>
      <c r="I26" s="32">
        <v>0</v>
      </c>
      <c r="J26" s="32">
        <v>0</v>
      </c>
      <c r="K26" s="24">
        <v>0</v>
      </c>
      <c r="L26" s="31">
        <v>0</v>
      </c>
      <c r="M26" s="32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2">
        <v>0</v>
      </c>
      <c r="T26" s="31">
        <v>0</v>
      </c>
      <c r="U26" s="31">
        <v>0</v>
      </c>
      <c r="V26" s="31">
        <v>0</v>
      </c>
      <c r="W26" s="32">
        <v>0</v>
      </c>
      <c r="X26" s="31">
        <v>0</v>
      </c>
      <c r="Y26" s="32">
        <v>0</v>
      </c>
      <c r="Z26" s="33">
        <v>0</v>
      </c>
      <c r="AA26" s="3"/>
      <c r="AB26" s="26">
        <v>25</v>
      </c>
      <c r="AC26" s="26">
        <v>5</v>
      </c>
      <c r="AD26" s="26">
        <v>3</v>
      </c>
      <c r="AE26" s="26">
        <v>2</v>
      </c>
      <c r="AF26" s="26">
        <v>1</v>
      </c>
      <c r="AG26" s="26">
        <v>4</v>
      </c>
    </row>
    <row r="27" spans="1:33" ht="27.75" thickBot="1" x14ac:dyDescent="0.3">
      <c r="A27" s="28" t="s">
        <v>37</v>
      </c>
      <c r="B27" s="34" t="s">
        <v>82</v>
      </c>
      <c r="C27" s="37" t="s">
        <v>83</v>
      </c>
      <c r="D27" s="30" t="s">
        <v>40</v>
      </c>
      <c r="E27" s="31">
        <v>0</v>
      </c>
      <c r="F27" s="31">
        <v>1</v>
      </c>
      <c r="G27" s="31">
        <v>0</v>
      </c>
      <c r="H27" s="31">
        <v>0</v>
      </c>
      <c r="I27" s="32">
        <v>0</v>
      </c>
      <c r="J27" s="32">
        <v>0</v>
      </c>
      <c r="K27" s="24">
        <v>0</v>
      </c>
      <c r="L27" s="31">
        <v>0</v>
      </c>
      <c r="M27" s="32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2">
        <v>0</v>
      </c>
      <c r="T27" s="31">
        <v>0</v>
      </c>
      <c r="U27" s="31">
        <v>0</v>
      </c>
      <c r="V27" s="31">
        <v>0</v>
      </c>
      <c r="W27" s="32">
        <v>0</v>
      </c>
      <c r="X27" s="31">
        <v>0</v>
      </c>
      <c r="Y27" s="32">
        <v>0</v>
      </c>
      <c r="Z27" s="33">
        <v>0</v>
      </c>
      <c r="AA27" s="3"/>
      <c r="AB27" s="26">
        <f>42-7</f>
        <v>35</v>
      </c>
      <c r="AC27" s="26">
        <v>2</v>
      </c>
      <c r="AD27" s="26">
        <v>2</v>
      </c>
      <c r="AE27" s="26">
        <v>2</v>
      </c>
      <c r="AF27" s="26">
        <v>1</v>
      </c>
      <c r="AG27" s="26">
        <v>5</v>
      </c>
    </row>
    <row r="28" spans="1:33" ht="15.75" thickBot="1" x14ac:dyDescent="0.3">
      <c r="A28" s="28" t="s">
        <v>37</v>
      </c>
      <c r="B28" s="34" t="s">
        <v>82</v>
      </c>
      <c r="C28" s="37" t="s">
        <v>84</v>
      </c>
      <c r="D28" s="30" t="s">
        <v>40</v>
      </c>
      <c r="E28" s="31">
        <v>0</v>
      </c>
      <c r="F28" s="31">
        <v>3</v>
      </c>
      <c r="G28" s="31">
        <v>1</v>
      </c>
      <c r="H28" s="31">
        <v>0</v>
      </c>
      <c r="I28" s="32">
        <v>0</v>
      </c>
      <c r="J28" s="32">
        <v>0</v>
      </c>
      <c r="K28" s="24">
        <v>0</v>
      </c>
      <c r="L28" s="31">
        <v>0</v>
      </c>
      <c r="M28" s="32">
        <v>0</v>
      </c>
      <c r="N28" s="31">
        <v>0</v>
      </c>
      <c r="O28" s="31">
        <v>0</v>
      </c>
      <c r="P28" s="31">
        <v>0</v>
      </c>
      <c r="Q28" s="31">
        <v>1</v>
      </c>
      <c r="R28" s="31">
        <v>0</v>
      </c>
      <c r="S28" s="32">
        <v>0</v>
      </c>
      <c r="T28" s="31">
        <v>0</v>
      </c>
      <c r="U28" s="31">
        <v>0</v>
      </c>
      <c r="V28" s="31">
        <v>0</v>
      </c>
      <c r="W28" s="32">
        <v>0</v>
      </c>
      <c r="X28" s="31">
        <v>0</v>
      </c>
      <c r="Y28" s="32">
        <v>0</v>
      </c>
      <c r="Z28" s="33">
        <v>0</v>
      </c>
      <c r="AA28" s="3"/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</row>
    <row r="29" spans="1:33" ht="27.75" thickBot="1" x14ac:dyDescent="0.3">
      <c r="A29" s="28" t="s">
        <v>37</v>
      </c>
      <c r="B29" s="34" t="s">
        <v>85</v>
      </c>
      <c r="C29" s="37" t="s">
        <v>86</v>
      </c>
      <c r="D29" s="30" t="s">
        <v>40</v>
      </c>
      <c r="E29" s="31">
        <v>0</v>
      </c>
      <c r="F29" s="31">
        <v>4</v>
      </c>
      <c r="G29" s="31">
        <v>0</v>
      </c>
      <c r="H29" s="31">
        <v>0</v>
      </c>
      <c r="I29" s="32">
        <v>0</v>
      </c>
      <c r="J29" s="32">
        <v>0</v>
      </c>
      <c r="K29" s="24">
        <v>0</v>
      </c>
      <c r="L29" s="31">
        <v>0</v>
      </c>
      <c r="M29" s="32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2">
        <v>0</v>
      </c>
      <c r="T29" s="31">
        <v>0</v>
      </c>
      <c r="U29" s="31">
        <v>0</v>
      </c>
      <c r="V29" s="31">
        <v>0</v>
      </c>
      <c r="W29" s="32">
        <v>0</v>
      </c>
      <c r="X29" s="31">
        <v>0</v>
      </c>
      <c r="Y29" s="32">
        <v>0</v>
      </c>
      <c r="Z29" s="33">
        <v>0</v>
      </c>
      <c r="AA29" s="3"/>
      <c r="AB29" s="26">
        <v>21</v>
      </c>
      <c r="AC29" s="26">
        <v>4</v>
      </c>
      <c r="AD29" s="26">
        <v>1</v>
      </c>
      <c r="AE29" s="26">
        <v>0</v>
      </c>
      <c r="AF29" s="26">
        <v>1</v>
      </c>
      <c r="AG29" s="26">
        <v>2</v>
      </c>
    </row>
    <row r="30" spans="1:33" ht="95.25" thickBot="1" x14ac:dyDescent="0.3">
      <c r="A30" s="28" t="s">
        <v>37</v>
      </c>
      <c r="B30" s="34" t="s">
        <v>87</v>
      </c>
      <c r="C30" s="37" t="s">
        <v>88</v>
      </c>
      <c r="D30" s="30" t="s">
        <v>89</v>
      </c>
      <c r="E30" s="31">
        <v>1</v>
      </c>
      <c r="F30" s="31">
        <v>1</v>
      </c>
      <c r="G30" s="31">
        <v>0</v>
      </c>
      <c r="H30" s="31">
        <v>0</v>
      </c>
      <c r="I30" s="32">
        <v>0</v>
      </c>
      <c r="J30" s="32">
        <v>0</v>
      </c>
      <c r="K30" s="24">
        <v>0</v>
      </c>
      <c r="L30" s="31">
        <v>0</v>
      </c>
      <c r="M30" s="32">
        <v>0</v>
      </c>
      <c r="N30" s="31">
        <v>0</v>
      </c>
      <c r="O30" s="31">
        <v>0</v>
      </c>
      <c r="P30" s="31">
        <v>0</v>
      </c>
      <c r="Q30" s="31">
        <v>0</v>
      </c>
      <c r="R30" s="31">
        <v>1</v>
      </c>
      <c r="S30" s="32">
        <v>0</v>
      </c>
      <c r="T30" s="31">
        <v>0</v>
      </c>
      <c r="U30" s="31">
        <v>0</v>
      </c>
      <c r="V30" s="31">
        <v>0</v>
      </c>
      <c r="W30" s="32">
        <v>0</v>
      </c>
      <c r="X30" s="31">
        <v>0</v>
      </c>
      <c r="Y30" s="32">
        <v>0</v>
      </c>
      <c r="Z30" s="33">
        <v>0</v>
      </c>
      <c r="AA30" s="3"/>
      <c r="AB30" s="26">
        <v>16</v>
      </c>
      <c r="AC30" s="26"/>
      <c r="AD30" s="26">
        <v>1</v>
      </c>
      <c r="AE30" s="26">
        <v>1</v>
      </c>
      <c r="AF30" s="26"/>
      <c r="AG30" s="26">
        <v>1</v>
      </c>
    </row>
    <row r="31" spans="1:33" ht="95.25" thickBot="1" x14ac:dyDescent="0.3">
      <c r="A31" s="28" t="s">
        <v>37</v>
      </c>
      <c r="B31" s="34" t="s">
        <v>90</v>
      </c>
      <c r="C31" s="37" t="s">
        <v>88</v>
      </c>
      <c r="D31" s="30" t="s">
        <v>91</v>
      </c>
      <c r="E31" s="31">
        <v>0</v>
      </c>
      <c r="F31" s="31">
        <v>3</v>
      </c>
      <c r="G31" s="31">
        <v>0</v>
      </c>
      <c r="H31" s="31">
        <v>0</v>
      </c>
      <c r="I31" s="32">
        <v>0</v>
      </c>
      <c r="J31" s="32">
        <v>0</v>
      </c>
      <c r="K31" s="24">
        <v>0</v>
      </c>
      <c r="L31" s="31">
        <v>0</v>
      </c>
      <c r="M31" s="32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2">
        <v>0</v>
      </c>
      <c r="T31" s="31">
        <v>0</v>
      </c>
      <c r="U31" s="31">
        <v>0</v>
      </c>
      <c r="V31" s="31">
        <v>0</v>
      </c>
      <c r="W31" s="32">
        <v>0</v>
      </c>
      <c r="X31" s="31">
        <v>0</v>
      </c>
      <c r="Y31" s="32">
        <v>0</v>
      </c>
      <c r="Z31" s="33">
        <v>0</v>
      </c>
      <c r="AA31" s="38">
        <f>AA36*9</f>
        <v>12452618851.312965</v>
      </c>
      <c r="AB31" s="26">
        <v>16</v>
      </c>
      <c r="AC31" s="26"/>
      <c r="AD31" s="26">
        <v>1</v>
      </c>
      <c r="AE31" s="26">
        <v>1</v>
      </c>
      <c r="AF31" s="26"/>
      <c r="AG31" s="26">
        <v>1</v>
      </c>
    </row>
    <row r="32" spans="1:33" ht="27.75" thickBot="1" x14ac:dyDescent="0.3">
      <c r="A32" s="28" t="s">
        <v>37</v>
      </c>
      <c r="B32" s="34" t="s">
        <v>92</v>
      </c>
      <c r="C32" s="37" t="s">
        <v>93</v>
      </c>
      <c r="D32" s="30" t="s">
        <v>40</v>
      </c>
      <c r="E32" s="31">
        <v>0</v>
      </c>
      <c r="F32" s="31">
        <v>2</v>
      </c>
      <c r="G32" s="31">
        <v>0</v>
      </c>
      <c r="H32" s="31">
        <v>0</v>
      </c>
      <c r="I32" s="32">
        <v>0</v>
      </c>
      <c r="J32" s="32">
        <v>0</v>
      </c>
      <c r="K32" s="24">
        <v>0</v>
      </c>
      <c r="L32" s="31">
        <v>0</v>
      </c>
      <c r="M32" s="32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1">
        <v>0</v>
      </c>
      <c r="U32" s="31">
        <v>0</v>
      </c>
      <c r="V32" s="31">
        <v>0</v>
      </c>
      <c r="W32" s="32">
        <v>0</v>
      </c>
      <c r="X32" s="31">
        <v>0</v>
      </c>
      <c r="Y32" s="32">
        <v>0</v>
      </c>
      <c r="Z32" s="33">
        <v>0</v>
      </c>
      <c r="AA32" s="3"/>
      <c r="AB32" s="26">
        <v>6</v>
      </c>
      <c r="AC32" s="26">
        <v>0</v>
      </c>
      <c r="AD32" s="26">
        <v>1</v>
      </c>
      <c r="AE32" s="26">
        <v>1</v>
      </c>
      <c r="AF32" s="26">
        <v>0</v>
      </c>
      <c r="AG32" s="26">
        <v>1</v>
      </c>
    </row>
    <row r="33" spans="1:35" ht="15.75" thickBot="1" x14ac:dyDescent="0.3">
      <c r="A33" s="202" t="s">
        <v>94</v>
      </c>
      <c r="B33" s="203"/>
      <c r="C33" s="203"/>
      <c r="D33" s="204"/>
      <c r="E33" s="39">
        <f t="shared" ref="E33:AG33" si="10">SUM(E7:E32)</f>
        <v>3</v>
      </c>
      <c r="F33" s="40">
        <f t="shared" si="10"/>
        <v>60</v>
      </c>
      <c r="G33" s="40">
        <f t="shared" si="10"/>
        <v>3</v>
      </c>
      <c r="H33" s="40">
        <f t="shared" si="10"/>
        <v>0</v>
      </c>
      <c r="I33" s="41">
        <f t="shared" si="10"/>
        <v>0</v>
      </c>
      <c r="J33" s="41">
        <f t="shared" si="10"/>
        <v>0</v>
      </c>
      <c r="K33" s="41"/>
      <c r="L33" s="40">
        <f t="shared" si="10"/>
        <v>4</v>
      </c>
      <c r="M33" s="41">
        <f t="shared" si="10"/>
        <v>0</v>
      </c>
      <c r="N33" s="40">
        <f t="shared" si="10"/>
        <v>2</v>
      </c>
      <c r="O33" s="40">
        <f t="shared" si="10"/>
        <v>0</v>
      </c>
      <c r="P33" s="40">
        <f t="shared" si="10"/>
        <v>0</v>
      </c>
      <c r="Q33" s="40">
        <f t="shared" si="10"/>
        <v>7</v>
      </c>
      <c r="R33" s="40">
        <f t="shared" si="10"/>
        <v>2</v>
      </c>
      <c r="S33" s="41">
        <f t="shared" si="10"/>
        <v>0</v>
      </c>
      <c r="T33" s="40">
        <f t="shared" si="10"/>
        <v>0</v>
      </c>
      <c r="U33" s="40">
        <f t="shared" si="10"/>
        <v>0</v>
      </c>
      <c r="V33" s="40">
        <f t="shared" si="10"/>
        <v>1</v>
      </c>
      <c r="W33" s="41">
        <f t="shared" si="10"/>
        <v>0</v>
      </c>
      <c r="X33" s="40">
        <f t="shared" si="10"/>
        <v>0</v>
      </c>
      <c r="Y33" s="41">
        <f t="shared" si="10"/>
        <v>0</v>
      </c>
      <c r="Z33" s="42">
        <f t="shared" si="10"/>
        <v>0</v>
      </c>
      <c r="AA33" s="43">
        <f>SUM(E33:Z33)</f>
        <v>82</v>
      </c>
      <c r="AB33" s="44">
        <f t="shared" si="10"/>
        <v>390</v>
      </c>
      <c r="AC33" s="44">
        <f t="shared" si="10"/>
        <v>23</v>
      </c>
      <c r="AD33" s="44">
        <f t="shared" si="10"/>
        <v>32</v>
      </c>
      <c r="AE33" s="44">
        <f t="shared" si="10"/>
        <v>29</v>
      </c>
      <c r="AF33" s="44">
        <f t="shared" si="10"/>
        <v>12</v>
      </c>
      <c r="AG33" s="44">
        <f t="shared" si="10"/>
        <v>38</v>
      </c>
    </row>
    <row r="34" spans="1:35" ht="15.75" thickBot="1" x14ac:dyDescent="0.3">
      <c r="A34" s="45"/>
      <c r="B34" s="46"/>
      <c r="C34" s="46"/>
      <c r="D34" s="46"/>
      <c r="E34" s="47"/>
      <c r="F34" s="47"/>
      <c r="G34" s="47"/>
      <c r="H34" s="47"/>
      <c r="I34" s="48"/>
      <c r="J34" s="48"/>
      <c r="K34" s="48"/>
      <c r="L34" s="47"/>
      <c r="M34" s="48"/>
      <c r="N34" s="47"/>
      <c r="O34" s="47"/>
      <c r="P34" s="47"/>
      <c r="Q34" s="47"/>
      <c r="R34" s="47"/>
      <c r="S34" s="48"/>
      <c r="T34" s="47"/>
      <c r="U34" s="47"/>
      <c r="V34" s="47"/>
      <c r="W34" s="48"/>
      <c r="X34" s="47"/>
      <c r="Y34" s="48"/>
      <c r="Z34" s="49"/>
      <c r="AA34" s="50">
        <f>SUM(E34:Z34)</f>
        <v>0</v>
      </c>
      <c r="AB34" s="51"/>
      <c r="AC34" s="51"/>
      <c r="AD34" s="51"/>
      <c r="AE34" s="51"/>
      <c r="AF34" s="51"/>
      <c r="AG34" s="51"/>
    </row>
    <row r="35" spans="1:35" ht="15.75" thickBot="1" x14ac:dyDescent="0.3">
      <c r="A35" s="45"/>
      <c r="B35" s="199" t="s">
        <v>95</v>
      </c>
      <c r="C35" s="199"/>
      <c r="D35" s="46"/>
      <c r="E35" s="47"/>
      <c r="F35" s="47"/>
      <c r="G35" s="47"/>
      <c r="H35" s="47"/>
      <c r="I35" s="48"/>
      <c r="J35" s="48"/>
      <c r="K35" s="48"/>
      <c r="L35" s="47"/>
      <c r="M35" s="48"/>
      <c r="N35" s="47"/>
      <c r="O35" s="47"/>
      <c r="P35" s="47"/>
      <c r="Q35" s="47"/>
      <c r="R35" s="47"/>
      <c r="S35" s="48"/>
      <c r="T35" s="47"/>
      <c r="U35" s="47"/>
      <c r="V35" s="47"/>
      <c r="W35" s="48"/>
      <c r="X35" s="47"/>
      <c r="Y35" s="48"/>
      <c r="Z35" s="49"/>
      <c r="AA35" s="53">
        <f>SUM(E35:Z35)</f>
        <v>0</v>
      </c>
      <c r="AB35" s="51"/>
      <c r="AC35" s="51"/>
      <c r="AD35" s="51"/>
      <c r="AE35" s="51"/>
      <c r="AF35" s="51"/>
      <c r="AG35" s="51"/>
    </row>
    <row r="36" spans="1:35" s="59" customFormat="1" ht="15.75" thickBot="1" x14ac:dyDescent="0.3">
      <c r="A36" s="205" t="s">
        <v>96</v>
      </c>
      <c r="B36" s="206"/>
      <c r="C36" s="206"/>
      <c r="D36" s="206"/>
      <c r="E36" s="54">
        <f t="shared" ref="E36:J36" si="11">E33*E5</f>
        <v>57533079.433994986</v>
      </c>
      <c r="F36" s="54">
        <f t="shared" si="11"/>
        <v>1129740468.88572</v>
      </c>
      <c r="G36" s="54">
        <f t="shared" si="11"/>
        <v>56487023.444286004</v>
      </c>
      <c r="H36" s="54">
        <f t="shared" si="11"/>
        <v>0</v>
      </c>
      <c r="I36" s="55">
        <f t="shared" si="11"/>
        <v>0</v>
      </c>
      <c r="J36" s="55">
        <f t="shared" si="11"/>
        <v>0</v>
      </c>
      <c r="K36" s="55"/>
      <c r="L36" s="54">
        <f>L33*L5</f>
        <v>46608298.907871947</v>
      </c>
      <c r="M36" s="55">
        <f>M33*M5</f>
        <v>0</v>
      </c>
      <c r="N36" s="54">
        <f t="shared" ref="N36:Z36" si="12">N33*N5</f>
        <v>18643319.563148782</v>
      </c>
      <c r="O36" s="54">
        <f t="shared" si="12"/>
        <v>0</v>
      </c>
      <c r="P36" s="54">
        <f t="shared" si="12"/>
        <v>0</v>
      </c>
      <c r="Q36" s="54">
        <f t="shared" si="12"/>
        <v>46320054.449218437</v>
      </c>
      <c r="R36" s="54">
        <f t="shared" si="12"/>
        <v>21115139.040517408</v>
      </c>
      <c r="S36" s="55">
        <f t="shared" si="12"/>
        <v>0</v>
      </c>
      <c r="T36" s="54">
        <f t="shared" si="12"/>
        <v>0</v>
      </c>
      <c r="U36" s="54">
        <f t="shared" si="12"/>
        <v>0</v>
      </c>
      <c r="V36" s="54">
        <f t="shared" si="12"/>
        <v>7176933.0877940105</v>
      </c>
      <c r="W36" s="55">
        <f t="shared" si="12"/>
        <v>0</v>
      </c>
      <c r="X36" s="54">
        <f t="shared" si="12"/>
        <v>0</v>
      </c>
      <c r="Y36" s="55">
        <f t="shared" si="12"/>
        <v>0</v>
      </c>
      <c r="Z36" s="56">
        <f t="shared" si="12"/>
        <v>0</v>
      </c>
      <c r="AA36" s="57">
        <f>SUM(E36:Z36)</f>
        <v>1383624316.8125517</v>
      </c>
      <c r="AB36" s="58">
        <f t="shared" ref="AB36:AG36" si="13">AB33*AB5</f>
        <v>11780559.700000001</v>
      </c>
      <c r="AC36" s="58">
        <f t="shared" si="13"/>
        <v>2700479.2966666669</v>
      </c>
      <c r="AD36" s="58">
        <f t="shared" si="13"/>
        <v>4813083.5199999996</v>
      </c>
      <c r="AE36" s="58">
        <f t="shared" si="13"/>
        <v>3167212.7666666666</v>
      </c>
      <c r="AF36" s="58">
        <f t="shared" si="13"/>
        <v>4132736.7199999997</v>
      </c>
      <c r="AG36" s="58">
        <f t="shared" si="13"/>
        <v>4403885.3600000003</v>
      </c>
      <c r="AI36" s="60"/>
    </row>
    <row r="37" spans="1:35" ht="15.75" thickBot="1" x14ac:dyDescent="0.3">
      <c r="A37" s="20" t="s">
        <v>97</v>
      </c>
      <c r="B37" s="21" t="s">
        <v>98</v>
      </c>
      <c r="C37" s="22" t="s">
        <v>99</v>
      </c>
      <c r="D37" s="22" t="s">
        <v>100</v>
      </c>
      <c r="E37" s="23">
        <v>0</v>
      </c>
      <c r="F37" s="23">
        <v>1</v>
      </c>
      <c r="G37" s="23">
        <v>0</v>
      </c>
      <c r="H37" s="23">
        <v>0</v>
      </c>
      <c r="I37" s="24">
        <v>0</v>
      </c>
      <c r="J37" s="24">
        <v>0</v>
      </c>
      <c r="K37" s="24">
        <v>0</v>
      </c>
      <c r="L37" s="23">
        <v>0</v>
      </c>
      <c r="M37" s="24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4">
        <v>0</v>
      </c>
      <c r="T37" s="23">
        <v>0</v>
      </c>
      <c r="U37" s="23">
        <v>0</v>
      </c>
      <c r="V37" s="23">
        <v>0</v>
      </c>
      <c r="W37" s="24">
        <v>0</v>
      </c>
      <c r="X37" s="23">
        <v>0</v>
      </c>
      <c r="Y37" s="24">
        <v>0</v>
      </c>
      <c r="Z37" s="25">
        <v>0</v>
      </c>
      <c r="AA37" s="38"/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</row>
    <row r="38" spans="1:35" ht="25.5" customHeight="1" thickBot="1" x14ac:dyDescent="0.3">
      <c r="A38" s="28" t="s">
        <v>97</v>
      </c>
      <c r="B38" s="29" t="s">
        <v>101</v>
      </c>
      <c r="C38" s="30" t="s">
        <v>99</v>
      </c>
      <c r="D38" s="30" t="s">
        <v>100</v>
      </c>
      <c r="E38" s="31">
        <v>0</v>
      </c>
      <c r="F38" s="31">
        <v>4</v>
      </c>
      <c r="G38" s="31">
        <v>1</v>
      </c>
      <c r="H38" s="31">
        <v>0</v>
      </c>
      <c r="I38" s="32">
        <v>0</v>
      </c>
      <c r="J38" s="32">
        <v>0</v>
      </c>
      <c r="K38" s="24">
        <v>0</v>
      </c>
      <c r="L38" s="31">
        <v>0</v>
      </c>
      <c r="M38" s="32">
        <v>0</v>
      </c>
      <c r="N38" s="31">
        <v>1</v>
      </c>
      <c r="O38" s="31">
        <v>0</v>
      </c>
      <c r="P38" s="31">
        <v>0</v>
      </c>
      <c r="Q38" s="31">
        <v>0</v>
      </c>
      <c r="R38" s="31">
        <v>0</v>
      </c>
      <c r="S38" s="32">
        <v>0</v>
      </c>
      <c r="T38" s="31">
        <v>0</v>
      </c>
      <c r="U38" s="31">
        <v>0</v>
      </c>
      <c r="V38" s="31">
        <v>0</v>
      </c>
      <c r="W38" s="32">
        <v>0</v>
      </c>
      <c r="X38" s="31">
        <v>0</v>
      </c>
      <c r="Y38" s="32">
        <v>0</v>
      </c>
      <c r="Z38" s="33">
        <v>0</v>
      </c>
      <c r="AA38" s="3"/>
      <c r="AB38" s="26">
        <v>60</v>
      </c>
      <c r="AC38" s="26">
        <v>6</v>
      </c>
      <c r="AD38" s="26">
        <v>2</v>
      </c>
      <c r="AE38" s="26">
        <v>2</v>
      </c>
      <c r="AF38" s="26">
        <v>1</v>
      </c>
      <c r="AG38" s="26">
        <v>5</v>
      </c>
    </row>
    <row r="39" spans="1:35" ht="25.5" customHeight="1" thickBot="1" x14ac:dyDescent="0.3">
      <c r="A39" s="28" t="s">
        <v>97</v>
      </c>
      <c r="B39" s="29" t="s">
        <v>101</v>
      </c>
      <c r="C39" s="30" t="s">
        <v>99</v>
      </c>
      <c r="D39" s="30" t="s">
        <v>100</v>
      </c>
      <c r="E39" s="31">
        <v>0</v>
      </c>
      <c r="F39" s="31">
        <v>2</v>
      </c>
      <c r="G39" s="31">
        <v>0</v>
      </c>
      <c r="H39" s="31">
        <v>0</v>
      </c>
      <c r="I39" s="32">
        <v>0</v>
      </c>
      <c r="J39" s="32">
        <v>0</v>
      </c>
      <c r="K39" s="24">
        <v>0</v>
      </c>
      <c r="L39" s="31">
        <v>0</v>
      </c>
      <c r="M39" s="32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2">
        <v>0</v>
      </c>
      <c r="T39" s="31">
        <v>0</v>
      </c>
      <c r="U39" s="31">
        <v>0</v>
      </c>
      <c r="V39" s="31">
        <v>0</v>
      </c>
      <c r="W39" s="32">
        <v>0</v>
      </c>
      <c r="X39" s="31">
        <v>0</v>
      </c>
      <c r="Y39" s="32">
        <v>0</v>
      </c>
      <c r="Z39" s="33">
        <v>0</v>
      </c>
      <c r="AA39" s="3"/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</row>
    <row r="40" spans="1:35" ht="40.5" customHeight="1" thickBot="1" x14ac:dyDescent="0.3">
      <c r="A40" s="28" t="s">
        <v>97</v>
      </c>
      <c r="B40" s="29" t="s">
        <v>102</v>
      </c>
      <c r="C40" s="30" t="s">
        <v>103</v>
      </c>
      <c r="D40" s="30" t="s">
        <v>104</v>
      </c>
      <c r="E40" s="31">
        <v>0</v>
      </c>
      <c r="F40" s="31">
        <v>1</v>
      </c>
      <c r="G40" s="31">
        <v>0</v>
      </c>
      <c r="H40" s="31">
        <v>0</v>
      </c>
      <c r="I40" s="32">
        <v>0</v>
      </c>
      <c r="J40" s="32">
        <v>0</v>
      </c>
      <c r="K40" s="24">
        <v>0</v>
      </c>
      <c r="L40" s="31">
        <v>0</v>
      </c>
      <c r="M40" s="32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2">
        <v>0</v>
      </c>
      <c r="T40" s="31">
        <v>0</v>
      </c>
      <c r="U40" s="31">
        <v>0</v>
      </c>
      <c r="V40" s="31">
        <v>0</v>
      </c>
      <c r="W40" s="32">
        <v>0</v>
      </c>
      <c r="X40" s="31">
        <v>0</v>
      </c>
      <c r="Y40" s="32">
        <v>0</v>
      </c>
      <c r="Z40" s="33">
        <v>0</v>
      </c>
      <c r="AA40" s="3"/>
      <c r="AB40" s="26">
        <v>6</v>
      </c>
      <c r="AC40" s="26">
        <v>0</v>
      </c>
      <c r="AD40" s="26">
        <v>1</v>
      </c>
      <c r="AE40" s="26">
        <v>1</v>
      </c>
      <c r="AF40" s="26">
        <v>0</v>
      </c>
      <c r="AG40" s="26">
        <v>0</v>
      </c>
    </row>
    <row r="41" spans="1:35" ht="27.75" thickBot="1" x14ac:dyDescent="0.3">
      <c r="A41" s="28" t="s">
        <v>97</v>
      </c>
      <c r="B41" s="29" t="s">
        <v>105</v>
      </c>
      <c r="C41" s="30" t="s">
        <v>106</v>
      </c>
      <c r="D41" s="30" t="s">
        <v>107</v>
      </c>
      <c r="E41" s="31">
        <v>0</v>
      </c>
      <c r="F41" s="31">
        <v>1</v>
      </c>
      <c r="G41" s="31">
        <v>0</v>
      </c>
      <c r="H41" s="31">
        <v>0</v>
      </c>
      <c r="I41" s="32">
        <v>0</v>
      </c>
      <c r="J41" s="32">
        <v>0</v>
      </c>
      <c r="K41" s="24">
        <v>0</v>
      </c>
      <c r="L41" s="31">
        <v>0</v>
      </c>
      <c r="M41" s="32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2">
        <v>0</v>
      </c>
      <c r="T41" s="31">
        <v>0</v>
      </c>
      <c r="U41" s="31">
        <v>0</v>
      </c>
      <c r="V41" s="31">
        <v>0</v>
      </c>
      <c r="W41" s="32">
        <v>0</v>
      </c>
      <c r="X41" s="31">
        <v>0</v>
      </c>
      <c r="Y41" s="32">
        <v>0</v>
      </c>
      <c r="Z41" s="33">
        <v>0</v>
      </c>
      <c r="AA41" s="3"/>
      <c r="AB41" s="61">
        <v>11</v>
      </c>
      <c r="AC41" s="61">
        <v>1</v>
      </c>
      <c r="AD41" s="61">
        <v>1</v>
      </c>
      <c r="AE41" s="61">
        <v>1</v>
      </c>
      <c r="AF41" s="61">
        <v>0</v>
      </c>
      <c r="AG41" s="61">
        <v>2</v>
      </c>
    </row>
    <row r="42" spans="1:35" ht="27.75" thickBot="1" x14ac:dyDescent="0.3">
      <c r="A42" s="28" t="s">
        <v>97</v>
      </c>
      <c r="B42" s="29" t="s">
        <v>108</v>
      </c>
      <c r="C42" s="30" t="s">
        <v>109</v>
      </c>
      <c r="D42" s="30" t="s">
        <v>110</v>
      </c>
      <c r="E42" s="31">
        <v>0</v>
      </c>
      <c r="F42" s="31">
        <v>1</v>
      </c>
      <c r="G42" s="31">
        <v>0</v>
      </c>
      <c r="H42" s="31">
        <v>0</v>
      </c>
      <c r="I42" s="32">
        <v>0</v>
      </c>
      <c r="J42" s="32">
        <v>0</v>
      </c>
      <c r="K42" s="24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2">
        <v>0</v>
      </c>
      <c r="T42" s="31">
        <v>0</v>
      </c>
      <c r="U42" s="31">
        <v>0</v>
      </c>
      <c r="V42" s="31">
        <v>0</v>
      </c>
      <c r="W42" s="32">
        <v>0</v>
      </c>
      <c r="X42" s="31">
        <v>0</v>
      </c>
      <c r="Y42" s="32">
        <v>0</v>
      </c>
      <c r="Z42" s="33">
        <v>0</v>
      </c>
      <c r="AA42" s="3"/>
      <c r="AB42" s="26">
        <v>11</v>
      </c>
      <c r="AC42" s="26">
        <v>1</v>
      </c>
      <c r="AD42" s="26">
        <v>1</v>
      </c>
      <c r="AE42" s="26">
        <v>1</v>
      </c>
      <c r="AF42" s="26">
        <v>1</v>
      </c>
      <c r="AG42" s="26">
        <v>0</v>
      </c>
    </row>
    <row r="43" spans="1:35" ht="15.75" thickBot="1" x14ac:dyDescent="0.3">
      <c r="A43" s="28" t="s">
        <v>97</v>
      </c>
      <c r="B43" s="29" t="s">
        <v>111</v>
      </c>
      <c r="C43" s="30" t="s">
        <v>112</v>
      </c>
      <c r="D43" s="30" t="s">
        <v>104</v>
      </c>
      <c r="E43" s="31">
        <v>0</v>
      </c>
      <c r="F43" s="31">
        <v>4</v>
      </c>
      <c r="G43" s="31">
        <v>1</v>
      </c>
      <c r="H43" s="31">
        <v>0</v>
      </c>
      <c r="I43" s="32">
        <v>0</v>
      </c>
      <c r="J43" s="32">
        <v>0</v>
      </c>
      <c r="K43" s="24">
        <v>0</v>
      </c>
      <c r="L43" s="31">
        <v>0</v>
      </c>
      <c r="M43" s="32">
        <v>0</v>
      </c>
      <c r="N43" s="31">
        <v>1</v>
      </c>
      <c r="O43" s="31">
        <v>0</v>
      </c>
      <c r="P43" s="31">
        <v>0</v>
      </c>
      <c r="Q43" s="31">
        <v>0</v>
      </c>
      <c r="R43" s="31">
        <v>0</v>
      </c>
      <c r="S43" s="32">
        <v>0</v>
      </c>
      <c r="T43" s="31">
        <v>0</v>
      </c>
      <c r="U43" s="31">
        <v>0</v>
      </c>
      <c r="V43" s="31">
        <v>0</v>
      </c>
      <c r="W43" s="32">
        <v>0</v>
      </c>
      <c r="X43" s="31">
        <v>0</v>
      </c>
      <c r="Y43" s="32">
        <v>0</v>
      </c>
      <c r="Z43" s="33">
        <v>0</v>
      </c>
      <c r="AA43" s="3"/>
      <c r="AB43" s="26">
        <f>23-13</f>
        <v>10</v>
      </c>
      <c r="AC43" s="26">
        <f>2-1</f>
        <v>1</v>
      </c>
      <c r="AD43" s="26">
        <v>1</v>
      </c>
      <c r="AE43" s="26">
        <v>1</v>
      </c>
      <c r="AF43" s="26">
        <v>1</v>
      </c>
      <c r="AG43" s="26">
        <f>5-1</f>
        <v>4</v>
      </c>
    </row>
    <row r="44" spans="1:35" ht="15.75" thickBot="1" x14ac:dyDescent="0.3">
      <c r="A44" s="28" t="s">
        <v>97</v>
      </c>
      <c r="B44" s="29" t="s">
        <v>113</v>
      </c>
      <c r="C44" s="30" t="s">
        <v>114</v>
      </c>
      <c r="D44" s="30" t="s">
        <v>104</v>
      </c>
      <c r="E44" s="31">
        <v>0</v>
      </c>
      <c r="F44" s="31">
        <v>3</v>
      </c>
      <c r="G44" s="31">
        <v>1</v>
      </c>
      <c r="H44" s="31">
        <v>0</v>
      </c>
      <c r="I44" s="32">
        <v>0</v>
      </c>
      <c r="J44" s="32">
        <v>0</v>
      </c>
      <c r="K44" s="24">
        <v>0</v>
      </c>
      <c r="L44" s="31">
        <v>0</v>
      </c>
      <c r="M44" s="32">
        <v>0</v>
      </c>
      <c r="N44" s="31">
        <v>1</v>
      </c>
      <c r="O44" s="31">
        <v>0</v>
      </c>
      <c r="P44" s="31">
        <v>0</v>
      </c>
      <c r="Q44" s="31">
        <v>0</v>
      </c>
      <c r="R44" s="31">
        <v>1</v>
      </c>
      <c r="S44" s="32">
        <v>0</v>
      </c>
      <c r="T44" s="31">
        <v>0</v>
      </c>
      <c r="U44" s="31">
        <v>0</v>
      </c>
      <c r="V44" s="31">
        <v>0</v>
      </c>
      <c r="W44" s="32">
        <v>0</v>
      </c>
      <c r="X44" s="31">
        <v>0</v>
      </c>
      <c r="Y44" s="32">
        <v>0</v>
      </c>
      <c r="Z44" s="33">
        <v>0</v>
      </c>
      <c r="AA44" s="3"/>
      <c r="AB44" s="26">
        <f>28</f>
        <v>28</v>
      </c>
      <c r="AC44" s="26">
        <v>4</v>
      </c>
      <c r="AD44" s="26">
        <v>1</v>
      </c>
      <c r="AE44" s="26">
        <v>1</v>
      </c>
      <c r="AF44" s="26">
        <v>1</v>
      </c>
      <c r="AG44" s="26">
        <v>5</v>
      </c>
    </row>
    <row r="45" spans="1:35" ht="27.75" thickBot="1" x14ac:dyDescent="0.3">
      <c r="A45" s="28" t="s">
        <v>97</v>
      </c>
      <c r="B45" s="29" t="s">
        <v>115</v>
      </c>
      <c r="C45" s="30" t="s">
        <v>116</v>
      </c>
      <c r="D45" s="30" t="s">
        <v>104</v>
      </c>
      <c r="E45" s="31">
        <v>0</v>
      </c>
      <c r="F45" s="31">
        <v>1</v>
      </c>
      <c r="G45" s="31">
        <v>0</v>
      </c>
      <c r="H45" s="31">
        <v>0</v>
      </c>
      <c r="I45" s="32">
        <v>0</v>
      </c>
      <c r="J45" s="32">
        <v>0</v>
      </c>
      <c r="K45" s="24">
        <v>0</v>
      </c>
      <c r="L45" s="31">
        <v>0</v>
      </c>
      <c r="M45" s="32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2">
        <v>0</v>
      </c>
      <c r="T45" s="31">
        <v>0</v>
      </c>
      <c r="U45" s="31">
        <v>0</v>
      </c>
      <c r="V45" s="31">
        <v>0</v>
      </c>
      <c r="W45" s="32">
        <v>0</v>
      </c>
      <c r="X45" s="31">
        <v>0</v>
      </c>
      <c r="Y45" s="32">
        <v>0</v>
      </c>
      <c r="Z45" s="33">
        <v>0</v>
      </c>
      <c r="AA45" s="3"/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</row>
    <row r="46" spans="1:35" ht="15.75" thickBot="1" x14ac:dyDescent="0.3">
      <c r="A46" s="28" t="s">
        <v>97</v>
      </c>
      <c r="B46" s="29" t="s">
        <v>117</v>
      </c>
      <c r="C46" s="30" t="s">
        <v>118</v>
      </c>
      <c r="D46" s="30" t="s">
        <v>104</v>
      </c>
      <c r="E46" s="31">
        <v>0</v>
      </c>
      <c r="F46" s="31">
        <v>0</v>
      </c>
      <c r="G46" s="31">
        <v>0</v>
      </c>
      <c r="H46" s="31">
        <v>0</v>
      </c>
      <c r="I46" s="32">
        <v>0</v>
      </c>
      <c r="J46" s="32">
        <v>0</v>
      </c>
      <c r="K46" s="24">
        <v>0</v>
      </c>
      <c r="L46" s="31">
        <v>0</v>
      </c>
      <c r="M46" s="32">
        <v>0</v>
      </c>
      <c r="N46" s="31">
        <v>0</v>
      </c>
      <c r="O46" s="31">
        <v>1</v>
      </c>
      <c r="P46" s="31">
        <v>0</v>
      </c>
      <c r="Q46" s="31">
        <v>0</v>
      </c>
      <c r="R46" s="31">
        <v>0</v>
      </c>
      <c r="S46" s="32">
        <v>0</v>
      </c>
      <c r="T46" s="31">
        <v>1</v>
      </c>
      <c r="U46" s="31">
        <v>0</v>
      </c>
      <c r="V46" s="31">
        <v>0</v>
      </c>
      <c r="W46" s="32">
        <v>0</v>
      </c>
      <c r="X46" s="31">
        <v>0</v>
      </c>
      <c r="Y46" s="32">
        <v>0</v>
      </c>
      <c r="Z46" s="33">
        <v>0</v>
      </c>
      <c r="AA46" s="38">
        <f>AA51*9</f>
        <v>4417287817.6135159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</row>
    <row r="47" spans="1:35" ht="27.75" thickBot="1" x14ac:dyDescent="0.3">
      <c r="A47" s="62" t="s">
        <v>97</v>
      </c>
      <c r="B47" s="63" t="s">
        <v>119</v>
      </c>
      <c r="C47" s="64" t="s">
        <v>120</v>
      </c>
      <c r="D47" s="64" t="s">
        <v>104</v>
      </c>
      <c r="E47" s="65">
        <v>0</v>
      </c>
      <c r="F47" s="65">
        <v>1</v>
      </c>
      <c r="G47" s="65">
        <v>0</v>
      </c>
      <c r="H47" s="65">
        <v>0</v>
      </c>
      <c r="I47" s="66">
        <v>0</v>
      </c>
      <c r="J47" s="66">
        <v>0</v>
      </c>
      <c r="K47" s="24">
        <v>0</v>
      </c>
      <c r="L47" s="65">
        <v>0</v>
      </c>
      <c r="M47" s="66">
        <v>0</v>
      </c>
      <c r="N47" s="65">
        <v>0</v>
      </c>
      <c r="O47" s="65">
        <v>1</v>
      </c>
      <c r="P47" s="65">
        <v>0</v>
      </c>
      <c r="Q47" s="65">
        <v>0</v>
      </c>
      <c r="R47" s="65">
        <v>0</v>
      </c>
      <c r="S47" s="66">
        <v>0</v>
      </c>
      <c r="T47" s="65">
        <v>1</v>
      </c>
      <c r="U47" s="65">
        <v>0</v>
      </c>
      <c r="V47" s="65">
        <v>0</v>
      </c>
      <c r="W47" s="66">
        <v>0</v>
      </c>
      <c r="X47" s="65">
        <v>0</v>
      </c>
      <c r="Y47" s="66">
        <v>0</v>
      </c>
      <c r="Z47" s="67">
        <v>0</v>
      </c>
      <c r="AA47" s="3"/>
      <c r="AB47" s="26">
        <f>6</f>
        <v>6</v>
      </c>
      <c r="AC47" s="26">
        <v>1</v>
      </c>
      <c r="AD47" s="26">
        <v>1</v>
      </c>
      <c r="AE47" s="26">
        <v>1</v>
      </c>
      <c r="AF47" s="26">
        <v>0</v>
      </c>
      <c r="AG47" s="26">
        <v>0</v>
      </c>
    </row>
    <row r="48" spans="1:35" ht="15.75" thickBot="1" x14ac:dyDescent="0.3">
      <c r="A48" s="202" t="s">
        <v>94</v>
      </c>
      <c r="B48" s="203"/>
      <c r="C48" s="203"/>
      <c r="D48" s="204"/>
      <c r="E48" s="39">
        <f>SUM(E37:E47)</f>
        <v>0</v>
      </c>
      <c r="F48" s="40">
        <f>SUM(F37:F47)</f>
        <v>19</v>
      </c>
      <c r="G48" s="40">
        <f t="shared" ref="G48:AG48" si="14">SUM(G37:G47)</f>
        <v>3</v>
      </c>
      <c r="H48" s="40">
        <f t="shared" si="14"/>
        <v>0</v>
      </c>
      <c r="I48" s="41">
        <f t="shared" si="14"/>
        <v>0</v>
      </c>
      <c r="J48" s="41">
        <f t="shared" si="14"/>
        <v>0</v>
      </c>
      <c r="K48" s="41">
        <f t="shared" si="14"/>
        <v>0</v>
      </c>
      <c r="L48" s="40">
        <f t="shared" si="14"/>
        <v>0</v>
      </c>
      <c r="M48" s="41">
        <f t="shared" si="14"/>
        <v>0</v>
      </c>
      <c r="N48" s="40">
        <f t="shared" si="14"/>
        <v>3</v>
      </c>
      <c r="O48" s="40">
        <f t="shared" si="14"/>
        <v>2</v>
      </c>
      <c r="P48" s="40">
        <f t="shared" si="14"/>
        <v>0</v>
      </c>
      <c r="Q48" s="40">
        <f t="shared" si="14"/>
        <v>0</v>
      </c>
      <c r="R48" s="40">
        <f t="shared" si="14"/>
        <v>1</v>
      </c>
      <c r="S48" s="41">
        <f t="shared" si="14"/>
        <v>0</v>
      </c>
      <c r="T48" s="40">
        <f t="shared" si="14"/>
        <v>2</v>
      </c>
      <c r="U48" s="40">
        <f t="shared" si="14"/>
        <v>0</v>
      </c>
      <c r="V48" s="40">
        <f t="shared" si="14"/>
        <v>0</v>
      </c>
      <c r="W48" s="41">
        <f t="shared" si="14"/>
        <v>0</v>
      </c>
      <c r="X48" s="40">
        <f t="shared" si="14"/>
        <v>0</v>
      </c>
      <c r="Y48" s="41">
        <f t="shared" si="14"/>
        <v>0</v>
      </c>
      <c r="Z48" s="42">
        <f t="shared" si="14"/>
        <v>0</v>
      </c>
      <c r="AA48" s="43">
        <f>SUM(E48:Z48)</f>
        <v>30</v>
      </c>
      <c r="AB48" s="44">
        <f t="shared" si="14"/>
        <v>132</v>
      </c>
      <c r="AC48" s="44">
        <f t="shared" si="14"/>
        <v>14</v>
      </c>
      <c r="AD48" s="44">
        <f t="shared" si="14"/>
        <v>8</v>
      </c>
      <c r="AE48" s="44">
        <f t="shared" si="14"/>
        <v>8</v>
      </c>
      <c r="AF48" s="44">
        <f t="shared" si="14"/>
        <v>4</v>
      </c>
      <c r="AG48" s="44">
        <f t="shared" si="14"/>
        <v>16</v>
      </c>
    </row>
    <row r="49" spans="1:35" s="75" customFormat="1" ht="15.75" thickBot="1" x14ac:dyDescent="0.3">
      <c r="A49" s="68"/>
      <c r="B49" s="69"/>
      <c r="C49" s="69"/>
      <c r="D49" s="69"/>
      <c r="E49" s="70"/>
      <c r="F49" s="70"/>
      <c r="G49" s="70"/>
      <c r="H49" s="70"/>
      <c r="I49" s="71"/>
      <c r="J49" s="71"/>
      <c r="K49" s="71"/>
      <c r="L49" s="70"/>
      <c r="M49" s="71"/>
      <c r="N49" s="70"/>
      <c r="O49" s="70"/>
      <c r="P49" s="70"/>
      <c r="Q49" s="70"/>
      <c r="R49" s="70"/>
      <c r="S49" s="71"/>
      <c r="T49" s="70"/>
      <c r="U49" s="70"/>
      <c r="V49" s="70"/>
      <c r="W49" s="71"/>
      <c r="X49" s="70"/>
      <c r="Y49" s="71"/>
      <c r="Z49" s="72"/>
      <c r="AA49" s="73">
        <f>SUM(E49:Z49)</f>
        <v>0</v>
      </c>
      <c r="AB49" s="74"/>
      <c r="AC49" s="74"/>
      <c r="AD49" s="74"/>
      <c r="AE49" s="74"/>
      <c r="AF49" s="74"/>
      <c r="AG49" s="74"/>
      <c r="AI49" s="76"/>
    </row>
    <row r="50" spans="1:35" ht="15.75" thickBot="1" x14ac:dyDescent="0.3">
      <c r="A50" s="45"/>
      <c r="B50" s="199" t="s">
        <v>95</v>
      </c>
      <c r="C50" s="199"/>
      <c r="D50" s="46"/>
      <c r="E50" s="47"/>
      <c r="F50" s="47"/>
      <c r="G50" s="47"/>
      <c r="H50" s="47"/>
      <c r="I50" s="48"/>
      <c r="J50" s="48"/>
      <c r="K50" s="48"/>
      <c r="L50" s="47"/>
      <c r="M50" s="48"/>
      <c r="N50" s="47"/>
      <c r="O50" s="47"/>
      <c r="P50" s="47"/>
      <c r="Q50" s="47"/>
      <c r="R50" s="47"/>
      <c r="S50" s="48"/>
      <c r="T50" s="47"/>
      <c r="U50" s="47"/>
      <c r="V50" s="47"/>
      <c r="W50" s="48"/>
      <c r="X50" s="47"/>
      <c r="Y50" s="48"/>
      <c r="Z50" s="49"/>
      <c r="AA50" s="53">
        <f>SUM(E50:Z50)</f>
        <v>0</v>
      </c>
      <c r="AB50" s="74"/>
      <c r="AC50" s="74"/>
      <c r="AD50" s="74"/>
      <c r="AE50" s="74"/>
      <c r="AF50" s="74"/>
      <c r="AG50" s="74"/>
    </row>
    <row r="51" spans="1:35" ht="15.75" thickBot="1" x14ac:dyDescent="0.3">
      <c r="A51" s="205" t="s">
        <v>96</v>
      </c>
      <c r="B51" s="206"/>
      <c r="C51" s="206"/>
      <c r="D51" s="206"/>
      <c r="E51" s="54">
        <f t="shared" ref="E51:J51" si="15">E48*E5</f>
        <v>0</v>
      </c>
      <c r="F51" s="54">
        <f t="shared" si="15"/>
        <v>357751148.48047799</v>
      </c>
      <c r="G51" s="54">
        <f t="shared" si="15"/>
        <v>56487023.444286004</v>
      </c>
      <c r="H51" s="54">
        <f t="shared" si="15"/>
        <v>0</v>
      </c>
      <c r="I51" s="55">
        <f t="shared" si="15"/>
        <v>0</v>
      </c>
      <c r="J51" s="55">
        <f t="shared" si="15"/>
        <v>0</v>
      </c>
      <c r="K51" s="55"/>
      <c r="L51" s="54">
        <f>L48*L5</f>
        <v>0</v>
      </c>
      <c r="M51" s="55">
        <f>M48*M5</f>
        <v>0</v>
      </c>
      <c r="N51" s="54">
        <f t="shared" ref="N51:Z51" si="16">N48*N5</f>
        <v>27964979.344723172</v>
      </c>
      <c r="O51" s="54">
        <f t="shared" si="16"/>
        <v>16542876.589006586</v>
      </c>
      <c r="P51" s="54">
        <f t="shared" si="16"/>
        <v>0</v>
      </c>
      <c r="Q51" s="54">
        <f t="shared" si="16"/>
        <v>0</v>
      </c>
      <c r="R51" s="54">
        <f t="shared" si="16"/>
        <v>10557569.520258704</v>
      </c>
      <c r="S51" s="55">
        <f t="shared" si="16"/>
        <v>0</v>
      </c>
      <c r="T51" s="54">
        <f t="shared" si="16"/>
        <v>21506160.133860324</v>
      </c>
      <c r="U51" s="54">
        <f t="shared" si="16"/>
        <v>0</v>
      </c>
      <c r="V51" s="54">
        <f t="shared" si="16"/>
        <v>0</v>
      </c>
      <c r="W51" s="55">
        <f t="shared" si="16"/>
        <v>0</v>
      </c>
      <c r="X51" s="54">
        <f t="shared" si="16"/>
        <v>0</v>
      </c>
      <c r="Y51" s="55">
        <f t="shared" si="16"/>
        <v>0</v>
      </c>
      <c r="Z51" s="56">
        <f t="shared" si="16"/>
        <v>0</v>
      </c>
      <c r="AA51" s="57">
        <f>SUM(E51:Z51)</f>
        <v>490809757.51261282</v>
      </c>
      <c r="AB51" s="77">
        <f t="shared" ref="AB51:AG51" si="17">AB48*AB5</f>
        <v>3987266.3600000003</v>
      </c>
      <c r="AC51" s="77">
        <f t="shared" si="17"/>
        <v>1643770.0066666668</v>
      </c>
      <c r="AD51" s="77">
        <f t="shared" si="17"/>
        <v>1203270.8799999999</v>
      </c>
      <c r="AE51" s="77">
        <f t="shared" si="17"/>
        <v>873713.8666666667</v>
      </c>
      <c r="AF51" s="77">
        <f t="shared" si="17"/>
        <v>1377578.9066666665</v>
      </c>
      <c r="AG51" s="77">
        <f t="shared" si="17"/>
        <v>1854267.52</v>
      </c>
    </row>
    <row r="52" spans="1:35" ht="15.75" thickBot="1" x14ac:dyDescent="0.3">
      <c r="A52" s="20" t="s">
        <v>121</v>
      </c>
      <c r="B52" s="21" t="s">
        <v>98</v>
      </c>
      <c r="C52" s="22" t="s">
        <v>122</v>
      </c>
      <c r="D52" s="22" t="s">
        <v>123</v>
      </c>
      <c r="E52" s="23">
        <v>0</v>
      </c>
      <c r="F52" s="23">
        <v>2</v>
      </c>
      <c r="G52" s="23">
        <v>0</v>
      </c>
      <c r="H52" s="23">
        <v>0</v>
      </c>
      <c r="I52" s="24">
        <v>0</v>
      </c>
      <c r="J52" s="24">
        <v>0</v>
      </c>
      <c r="K52" s="24">
        <v>0</v>
      </c>
      <c r="L52" s="23">
        <v>0</v>
      </c>
      <c r="M52" s="24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4">
        <v>0</v>
      </c>
      <c r="T52" s="23">
        <v>0</v>
      </c>
      <c r="U52" s="23">
        <v>0</v>
      </c>
      <c r="V52" s="23">
        <v>0</v>
      </c>
      <c r="W52" s="24">
        <v>0</v>
      </c>
      <c r="X52" s="23">
        <v>0</v>
      </c>
      <c r="Y52" s="24">
        <v>0</v>
      </c>
      <c r="Z52" s="25">
        <v>0</v>
      </c>
      <c r="AA52" s="3"/>
      <c r="AB52" s="26">
        <v>2</v>
      </c>
      <c r="AC52" s="26">
        <v>0</v>
      </c>
      <c r="AD52" s="26">
        <v>0</v>
      </c>
      <c r="AE52" s="26">
        <v>1</v>
      </c>
      <c r="AF52" s="26">
        <v>1</v>
      </c>
      <c r="AG52" s="26">
        <v>0</v>
      </c>
    </row>
    <row r="53" spans="1:35" ht="15.75" thickBot="1" x14ac:dyDescent="0.3">
      <c r="A53" s="28" t="s">
        <v>121</v>
      </c>
      <c r="B53" s="29" t="s">
        <v>124</v>
      </c>
      <c r="C53" s="30" t="s">
        <v>122</v>
      </c>
      <c r="D53" s="30" t="s">
        <v>123</v>
      </c>
      <c r="E53" s="31">
        <v>0</v>
      </c>
      <c r="F53" s="31">
        <v>6</v>
      </c>
      <c r="G53" s="31">
        <v>0</v>
      </c>
      <c r="H53" s="31">
        <v>0</v>
      </c>
      <c r="I53" s="32">
        <v>0</v>
      </c>
      <c r="J53" s="32">
        <v>0</v>
      </c>
      <c r="K53" s="24">
        <v>0</v>
      </c>
      <c r="L53" s="31">
        <v>0</v>
      </c>
      <c r="M53" s="32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2">
        <v>0</v>
      </c>
      <c r="T53" s="31">
        <v>0</v>
      </c>
      <c r="U53" s="31">
        <v>0</v>
      </c>
      <c r="V53" s="31">
        <v>0</v>
      </c>
      <c r="W53" s="32">
        <v>0</v>
      </c>
      <c r="X53" s="31">
        <v>0</v>
      </c>
      <c r="Y53" s="32">
        <v>0</v>
      </c>
      <c r="Z53" s="33">
        <v>0</v>
      </c>
      <c r="AA53" s="3"/>
      <c r="AB53" s="26">
        <v>17</v>
      </c>
      <c r="AC53" s="26">
        <v>0</v>
      </c>
      <c r="AD53" s="26">
        <v>0</v>
      </c>
      <c r="AE53" s="26">
        <v>0</v>
      </c>
      <c r="AF53" s="26">
        <v>0</v>
      </c>
      <c r="AG53" s="26">
        <v>1</v>
      </c>
    </row>
    <row r="54" spans="1:35" ht="15.75" thickBot="1" x14ac:dyDescent="0.3">
      <c r="A54" s="28" t="s">
        <v>121</v>
      </c>
      <c r="B54" s="29" t="s">
        <v>124</v>
      </c>
      <c r="C54" s="30" t="s">
        <v>125</v>
      </c>
      <c r="D54" s="30" t="s">
        <v>123</v>
      </c>
      <c r="E54" s="31">
        <v>0</v>
      </c>
      <c r="F54" s="31">
        <v>1</v>
      </c>
      <c r="G54" s="31">
        <v>0</v>
      </c>
      <c r="H54" s="31">
        <v>0</v>
      </c>
      <c r="I54" s="32">
        <v>0</v>
      </c>
      <c r="J54" s="32">
        <v>0</v>
      </c>
      <c r="K54" s="24">
        <v>0</v>
      </c>
      <c r="L54" s="31">
        <v>0</v>
      </c>
      <c r="M54" s="32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2">
        <v>0</v>
      </c>
      <c r="T54" s="31">
        <v>0</v>
      </c>
      <c r="U54" s="31">
        <v>0</v>
      </c>
      <c r="V54" s="31">
        <v>0</v>
      </c>
      <c r="W54" s="32">
        <v>0</v>
      </c>
      <c r="X54" s="31">
        <v>0</v>
      </c>
      <c r="Y54" s="32">
        <v>0</v>
      </c>
      <c r="Z54" s="33">
        <v>0</v>
      </c>
      <c r="AA54" s="3"/>
      <c r="AB54" s="26"/>
      <c r="AC54" s="26"/>
      <c r="AD54" s="26"/>
      <c r="AE54" s="26"/>
      <c r="AF54" s="26"/>
      <c r="AG54" s="26"/>
    </row>
    <row r="55" spans="1:35" ht="41.25" thickBot="1" x14ac:dyDescent="0.3">
      <c r="A55" s="28" t="s">
        <v>121</v>
      </c>
      <c r="B55" s="29" t="s">
        <v>126</v>
      </c>
      <c r="C55" s="30" t="s">
        <v>127</v>
      </c>
      <c r="D55" s="30" t="s">
        <v>123</v>
      </c>
      <c r="E55" s="31">
        <v>0</v>
      </c>
      <c r="F55" s="31">
        <v>3</v>
      </c>
      <c r="G55" s="31">
        <v>0</v>
      </c>
      <c r="H55" s="31">
        <v>0</v>
      </c>
      <c r="I55" s="32">
        <v>0</v>
      </c>
      <c r="J55" s="32">
        <v>0</v>
      </c>
      <c r="K55" s="24">
        <v>0</v>
      </c>
      <c r="L55" s="31">
        <v>0</v>
      </c>
      <c r="M55" s="32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2">
        <v>0</v>
      </c>
      <c r="T55" s="31">
        <v>0</v>
      </c>
      <c r="U55" s="31">
        <v>0</v>
      </c>
      <c r="V55" s="31">
        <v>0</v>
      </c>
      <c r="W55" s="32">
        <v>0</v>
      </c>
      <c r="X55" s="31">
        <v>0</v>
      </c>
      <c r="Y55" s="32">
        <v>0</v>
      </c>
      <c r="Z55" s="33">
        <v>0</v>
      </c>
      <c r="AA55" s="3"/>
      <c r="AB55" s="26">
        <v>16</v>
      </c>
      <c r="AC55" s="26">
        <v>0</v>
      </c>
      <c r="AD55" s="26">
        <v>1</v>
      </c>
      <c r="AE55" s="26">
        <v>1</v>
      </c>
      <c r="AF55" s="26">
        <v>0</v>
      </c>
      <c r="AG55" s="26">
        <v>2</v>
      </c>
    </row>
    <row r="56" spans="1:35" ht="15.75" thickBot="1" x14ac:dyDescent="0.3">
      <c r="A56" s="28" t="s">
        <v>121</v>
      </c>
      <c r="B56" s="30" t="s">
        <v>124</v>
      </c>
      <c r="C56" s="30" t="s">
        <v>128</v>
      </c>
      <c r="D56" s="30" t="s">
        <v>129</v>
      </c>
      <c r="E56" s="31">
        <v>0</v>
      </c>
      <c r="F56" s="31">
        <v>0</v>
      </c>
      <c r="G56" s="31">
        <v>0</v>
      </c>
      <c r="H56" s="31">
        <v>0</v>
      </c>
      <c r="I56" s="32">
        <v>0</v>
      </c>
      <c r="J56" s="32">
        <v>0</v>
      </c>
      <c r="K56" s="24">
        <v>0</v>
      </c>
      <c r="L56" s="31">
        <v>0</v>
      </c>
      <c r="M56" s="32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2">
        <v>0</v>
      </c>
      <c r="T56" s="31">
        <v>0</v>
      </c>
      <c r="U56" s="31">
        <v>0</v>
      </c>
      <c r="V56" s="31">
        <v>0</v>
      </c>
      <c r="W56" s="32">
        <v>0</v>
      </c>
      <c r="X56" s="31">
        <v>0</v>
      </c>
      <c r="Y56" s="32">
        <v>0</v>
      </c>
      <c r="Z56" s="33">
        <v>0</v>
      </c>
      <c r="AA56" s="3"/>
      <c r="AB56" s="26"/>
      <c r="AC56" s="26"/>
      <c r="AD56" s="26"/>
      <c r="AE56" s="26"/>
      <c r="AF56" s="26"/>
      <c r="AG56" s="26"/>
    </row>
    <row r="57" spans="1:35" ht="15.75" thickBot="1" x14ac:dyDescent="0.3">
      <c r="A57" s="28" t="s">
        <v>121</v>
      </c>
      <c r="B57" s="29" t="s">
        <v>124</v>
      </c>
      <c r="C57" s="30" t="s">
        <v>130</v>
      </c>
      <c r="D57" s="30" t="s">
        <v>129</v>
      </c>
      <c r="E57" s="31">
        <v>0</v>
      </c>
      <c r="F57" s="31">
        <v>5</v>
      </c>
      <c r="G57" s="31">
        <v>0</v>
      </c>
      <c r="H57" s="31">
        <v>0</v>
      </c>
      <c r="I57" s="32">
        <v>0</v>
      </c>
      <c r="J57" s="32">
        <v>0</v>
      </c>
      <c r="K57" s="24">
        <v>0</v>
      </c>
      <c r="L57" s="31">
        <v>0</v>
      </c>
      <c r="M57" s="32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2">
        <v>0</v>
      </c>
      <c r="T57" s="31">
        <v>0</v>
      </c>
      <c r="U57" s="31">
        <v>0</v>
      </c>
      <c r="V57" s="31">
        <v>0</v>
      </c>
      <c r="W57" s="32">
        <v>0</v>
      </c>
      <c r="X57" s="31">
        <v>0</v>
      </c>
      <c r="Y57" s="32">
        <v>0</v>
      </c>
      <c r="Z57" s="33">
        <v>0</v>
      </c>
      <c r="AA57" s="3"/>
      <c r="AB57" s="26">
        <v>15</v>
      </c>
      <c r="AC57" s="26">
        <v>2</v>
      </c>
      <c r="AD57" s="26">
        <v>1</v>
      </c>
      <c r="AE57" s="26">
        <v>0</v>
      </c>
      <c r="AF57" s="26">
        <v>0</v>
      </c>
      <c r="AG57" s="26">
        <v>0</v>
      </c>
    </row>
    <row r="58" spans="1:35" ht="15.75" thickBot="1" x14ac:dyDescent="0.3">
      <c r="A58" s="28" t="s">
        <v>121</v>
      </c>
      <c r="B58" s="29" t="s">
        <v>124</v>
      </c>
      <c r="C58" s="30" t="s">
        <v>131</v>
      </c>
      <c r="D58" s="30" t="s">
        <v>132</v>
      </c>
      <c r="E58" s="31">
        <v>0</v>
      </c>
      <c r="F58" s="31">
        <v>2</v>
      </c>
      <c r="G58" s="31">
        <v>0</v>
      </c>
      <c r="H58" s="31">
        <v>0</v>
      </c>
      <c r="I58" s="32">
        <v>0</v>
      </c>
      <c r="J58" s="32">
        <v>0</v>
      </c>
      <c r="K58" s="24">
        <v>0</v>
      </c>
      <c r="L58" s="31">
        <v>0</v>
      </c>
      <c r="M58" s="32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2">
        <v>0</v>
      </c>
      <c r="T58" s="31">
        <v>0</v>
      </c>
      <c r="U58" s="31">
        <v>0</v>
      </c>
      <c r="V58" s="31">
        <v>0</v>
      </c>
      <c r="W58" s="32">
        <v>0</v>
      </c>
      <c r="X58" s="31">
        <v>0</v>
      </c>
      <c r="Y58" s="32">
        <v>0</v>
      </c>
      <c r="Z58" s="33">
        <v>0</v>
      </c>
      <c r="AA58" s="3"/>
      <c r="AB58" s="26">
        <f>10-4</f>
        <v>6</v>
      </c>
      <c r="AC58" s="26">
        <v>2</v>
      </c>
      <c r="AD58" s="26">
        <v>1</v>
      </c>
      <c r="AE58" s="26">
        <v>1</v>
      </c>
      <c r="AF58" s="26">
        <v>0</v>
      </c>
      <c r="AG58" s="26">
        <v>0</v>
      </c>
    </row>
    <row r="59" spans="1:35" ht="54.75" thickBot="1" x14ac:dyDescent="0.3">
      <c r="A59" s="28" t="s">
        <v>121</v>
      </c>
      <c r="B59" s="29" t="s">
        <v>124</v>
      </c>
      <c r="C59" s="30" t="s">
        <v>133</v>
      </c>
      <c r="D59" s="30" t="s">
        <v>123</v>
      </c>
      <c r="E59" s="31">
        <v>0</v>
      </c>
      <c r="F59" s="31">
        <v>3</v>
      </c>
      <c r="G59" s="31">
        <v>0</v>
      </c>
      <c r="H59" s="31">
        <v>0</v>
      </c>
      <c r="I59" s="32">
        <v>0</v>
      </c>
      <c r="J59" s="32">
        <v>0</v>
      </c>
      <c r="K59" s="24">
        <v>0</v>
      </c>
      <c r="L59" s="31">
        <v>0</v>
      </c>
      <c r="M59" s="32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2">
        <v>0</v>
      </c>
      <c r="T59" s="31">
        <v>0</v>
      </c>
      <c r="U59" s="31">
        <v>0</v>
      </c>
      <c r="V59" s="31">
        <v>0</v>
      </c>
      <c r="W59" s="32">
        <v>0</v>
      </c>
      <c r="X59" s="31">
        <v>0</v>
      </c>
      <c r="Y59" s="32">
        <v>0</v>
      </c>
      <c r="Z59" s="33">
        <v>0</v>
      </c>
      <c r="AA59" s="3"/>
      <c r="AB59" s="26">
        <v>14</v>
      </c>
      <c r="AC59" s="26">
        <v>0</v>
      </c>
      <c r="AD59" s="26">
        <v>1</v>
      </c>
      <c r="AE59" s="26">
        <v>1</v>
      </c>
      <c r="AF59" s="26">
        <v>0</v>
      </c>
      <c r="AG59" s="26">
        <v>2</v>
      </c>
    </row>
    <row r="60" spans="1:35" ht="27.75" thickBot="1" x14ac:dyDescent="0.3">
      <c r="A60" s="28" t="s">
        <v>121</v>
      </c>
      <c r="B60" s="29" t="s">
        <v>134</v>
      </c>
      <c r="C60" s="30" t="s">
        <v>135</v>
      </c>
      <c r="D60" s="30" t="s">
        <v>123</v>
      </c>
      <c r="E60" s="31">
        <v>0</v>
      </c>
      <c r="F60" s="31">
        <v>1</v>
      </c>
      <c r="G60" s="31">
        <v>0</v>
      </c>
      <c r="H60" s="31">
        <v>0</v>
      </c>
      <c r="I60" s="32">
        <v>0</v>
      </c>
      <c r="J60" s="32">
        <v>0</v>
      </c>
      <c r="K60" s="24">
        <v>0</v>
      </c>
      <c r="L60" s="31">
        <v>0</v>
      </c>
      <c r="M60" s="32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2">
        <v>0</v>
      </c>
      <c r="T60" s="31">
        <v>0</v>
      </c>
      <c r="U60" s="31">
        <v>0</v>
      </c>
      <c r="V60" s="31">
        <v>0</v>
      </c>
      <c r="W60" s="32">
        <v>0</v>
      </c>
      <c r="X60" s="31">
        <v>0</v>
      </c>
      <c r="Y60" s="32">
        <v>0</v>
      </c>
      <c r="Z60" s="33">
        <v>0</v>
      </c>
      <c r="AA60" s="3"/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</row>
    <row r="61" spans="1:35" ht="15.75" thickBot="1" x14ac:dyDescent="0.3">
      <c r="A61" s="28" t="s">
        <v>121</v>
      </c>
      <c r="B61" s="29" t="s">
        <v>134</v>
      </c>
      <c r="C61" s="30" t="s">
        <v>136</v>
      </c>
      <c r="D61" s="30" t="s">
        <v>123</v>
      </c>
      <c r="E61" s="31">
        <v>2</v>
      </c>
      <c r="F61" s="31">
        <v>10</v>
      </c>
      <c r="G61" s="31">
        <v>0</v>
      </c>
      <c r="H61" s="31">
        <v>0</v>
      </c>
      <c r="I61" s="32">
        <v>0</v>
      </c>
      <c r="J61" s="32">
        <v>0</v>
      </c>
      <c r="K61" s="24">
        <v>0</v>
      </c>
      <c r="L61" s="31">
        <v>0</v>
      </c>
      <c r="M61" s="32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2">
        <v>0</v>
      </c>
      <c r="T61" s="31">
        <v>0</v>
      </c>
      <c r="U61" s="31">
        <v>0</v>
      </c>
      <c r="V61" s="31">
        <v>0</v>
      </c>
      <c r="W61" s="32">
        <v>0</v>
      </c>
      <c r="X61" s="31">
        <v>0</v>
      </c>
      <c r="Y61" s="32">
        <v>0</v>
      </c>
      <c r="Z61" s="33">
        <v>0</v>
      </c>
      <c r="AA61" s="3"/>
      <c r="AB61" s="26">
        <f>37-27</f>
        <v>10</v>
      </c>
      <c r="AC61" s="26">
        <f>2</f>
        <v>2</v>
      </c>
      <c r="AD61" s="26">
        <f>2</f>
        <v>2</v>
      </c>
      <c r="AE61" s="26">
        <f>2</f>
        <v>2</v>
      </c>
      <c r="AF61" s="26">
        <f>2</f>
        <v>2</v>
      </c>
      <c r="AG61" s="26">
        <f>1</f>
        <v>1</v>
      </c>
    </row>
    <row r="62" spans="1:35" ht="27.75" thickBot="1" x14ac:dyDescent="0.3">
      <c r="A62" s="28" t="s">
        <v>121</v>
      </c>
      <c r="B62" s="29" t="s">
        <v>137</v>
      </c>
      <c r="C62" s="30" t="s">
        <v>138</v>
      </c>
      <c r="D62" s="30" t="s">
        <v>139</v>
      </c>
      <c r="E62" s="31">
        <v>0</v>
      </c>
      <c r="F62" s="31">
        <v>2</v>
      </c>
      <c r="G62" s="31">
        <v>0</v>
      </c>
      <c r="H62" s="31">
        <v>0</v>
      </c>
      <c r="I62" s="32">
        <v>0</v>
      </c>
      <c r="J62" s="32">
        <v>0</v>
      </c>
      <c r="K62" s="24">
        <v>0</v>
      </c>
      <c r="L62" s="31">
        <v>0</v>
      </c>
      <c r="M62" s="32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2">
        <v>0</v>
      </c>
      <c r="T62" s="31">
        <v>0</v>
      </c>
      <c r="U62" s="31">
        <v>0</v>
      </c>
      <c r="V62" s="31">
        <v>0</v>
      </c>
      <c r="W62" s="32">
        <v>0</v>
      </c>
      <c r="X62" s="31">
        <v>0</v>
      </c>
      <c r="Y62" s="32">
        <v>0</v>
      </c>
      <c r="Z62" s="33">
        <v>0</v>
      </c>
      <c r="AA62" s="3"/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</row>
    <row r="63" spans="1:35" ht="15.75" thickBot="1" x14ac:dyDescent="0.3">
      <c r="A63" s="28" t="s">
        <v>121</v>
      </c>
      <c r="B63" s="29" t="s">
        <v>137</v>
      </c>
      <c r="C63" s="30" t="s">
        <v>140</v>
      </c>
      <c r="D63" s="30" t="s">
        <v>141</v>
      </c>
      <c r="E63" s="31">
        <v>0</v>
      </c>
      <c r="F63" s="31">
        <v>3</v>
      </c>
      <c r="G63" s="31">
        <v>0</v>
      </c>
      <c r="H63" s="31">
        <v>0</v>
      </c>
      <c r="I63" s="32">
        <v>0</v>
      </c>
      <c r="J63" s="32">
        <v>0</v>
      </c>
      <c r="K63" s="24">
        <v>0</v>
      </c>
      <c r="L63" s="31">
        <v>0</v>
      </c>
      <c r="M63" s="32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2">
        <v>0</v>
      </c>
      <c r="T63" s="31">
        <v>0</v>
      </c>
      <c r="U63" s="31">
        <v>0</v>
      </c>
      <c r="V63" s="31">
        <v>0</v>
      </c>
      <c r="W63" s="32">
        <v>0</v>
      </c>
      <c r="X63" s="31">
        <v>0</v>
      </c>
      <c r="Y63" s="32">
        <v>0</v>
      </c>
      <c r="Z63" s="33">
        <v>0</v>
      </c>
      <c r="AA63" s="3"/>
      <c r="AB63" s="26">
        <v>10</v>
      </c>
      <c r="AC63" s="26">
        <v>2</v>
      </c>
      <c r="AD63" s="26">
        <v>1</v>
      </c>
      <c r="AE63" s="26">
        <v>1</v>
      </c>
      <c r="AF63" s="26">
        <v>1</v>
      </c>
      <c r="AG63" s="26">
        <v>1</v>
      </c>
    </row>
    <row r="64" spans="1:35" ht="27.75" thickBot="1" x14ac:dyDescent="0.3">
      <c r="A64" s="28" t="s">
        <v>121</v>
      </c>
      <c r="B64" s="29" t="s">
        <v>137</v>
      </c>
      <c r="C64" s="30" t="s">
        <v>142</v>
      </c>
      <c r="D64" s="30" t="s">
        <v>143</v>
      </c>
      <c r="E64" s="31">
        <v>0</v>
      </c>
      <c r="F64" s="31">
        <v>3</v>
      </c>
      <c r="G64" s="31">
        <v>0</v>
      </c>
      <c r="H64" s="31">
        <v>0</v>
      </c>
      <c r="I64" s="32">
        <v>0</v>
      </c>
      <c r="J64" s="32">
        <v>0</v>
      </c>
      <c r="K64" s="24">
        <v>0</v>
      </c>
      <c r="L64" s="31">
        <v>0</v>
      </c>
      <c r="M64" s="32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2">
        <v>0</v>
      </c>
      <c r="T64" s="31">
        <v>0</v>
      </c>
      <c r="U64" s="31">
        <v>0</v>
      </c>
      <c r="V64" s="31">
        <v>0</v>
      </c>
      <c r="W64" s="32">
        <v>0</v>
      </c>
      <c r="X64" s="31">
        <v>0</v>
      </c>
      <c r="Y64" s="32">
        <v>0</v>
      </c>
      <c r="Z64" s="33">
        <v>0</v>
      </c>
      <c r="AA64" s="3"/>
      <c r="AB64" s="26">
        <v>12</v>
      </c>
      <c r="AC64" s="26">
        <v>2</v>
      </c>
      <c r="AD64" s="26">
        <v>1</v>
      </c>
      <c r="AE64" s="26">
        <v>1</v>
      </c>
      <c r="AF64" s="26">
        <v>1</v>
      </c>
      <c r="AG64" s="26">
        <v>1</v>
      </c>
    </row>
    <row r="65" spans="1:35" ht="54.75" thickBot="1" x14ac:dyDescent="0.3">
      <c r="A65" s="78" t="s">
        <v>121</v>
      </c>
      <c r="B65" s="29" t="s">
        <v>137</v>
      </c>
      <c r="C65" s="29" t="s">
        <v>144</v>
      </c>
      <c r="D65" s="29" t="s">
        <v>123</v>
      </c>
      <c r="E65" s="31">
        <v>0</v>
      </c>
      <c r="F65" s="31">
        <v>2</v>
      </c>
      <c r="G65" s="31">
        <v>0</v>
      </c>
      <c r="H65" s="31">
        <v>0</v>
      </c>
      <c r="I65" s="32"/>
      <c r="J65" s="32"/>
      <c r="K65" s="24"/>
      <c r="L65" s="31">
        <v>0</v>
      </c>
      <c r="M65" s="32"/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2"/>
      <c r="T65" s="31">
        <v>0</v>
      </c>
      <c r="U65" s="31">
        <v>0</v>
      </c>
      <c r="V65" s="31">
        <v>0</v>
      </c>
      <c r="W65" s="32"/>
      <c r="X65" s="31">
        <v>0</v>
      </c>
      <c r="Y65" s="32"/>
      <c r="Z65" s="33"/>
      <c r="AA65" s="3"/>
      <c r="AB65" s="26">
        <v>16</v>
      </c>
      <c r="AC65" s="26">
        <v>0</v>
      </c>
      <c r="AD65" s="26">
        <v>1</v>
      </c>
      <c r="AE65" s="26">
        <v>1</v>
      </c>
      <c r="AF65" s="26">
        <v>1</v>
      </c>
      <c r="AG65" s="26">
        <v>1</v>
      </c>
    </row>
    <row r="66" spans="1:35" ht="27.75" thickBot="1" x14ac:dyDescent="0.3">
      <c r="A66" s="28" t="s">
        <v>121</v>
      </c>
      <c r="B66" s="29" t="s">
        <v>145</v>
      </c>
      <c r="C66" s="30" t="s">
        <v>146</v>
      </c>
      <c r="D66" s="30" t="s">
        <v>147</v>
      </c>
      <c r="E66" s="31">
        <v>0</v>
      </c>
      <c r="F66" s="31">
        <v>3</v>
      </c>
      <c r="G66" s="31">
        <v>0</v>
      </c>
      <c r="H66" s="31">
        <v>0</v>
      </c>
      <c r="I66" s="32">
        <v>0</v>
      </c>
      <c r="J66" s="32">
        <v>0</v>
      </c>
      <c r="K66" s="24">
        <v>0</v>
      </c>
      <c r="L66" s="31">
        <v>0</v>
      </c>
      <c r="M66" s="32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2">
        <v>0</v>
      </c>
      <c r="T66" s="31">
        <v>0</v>
      </c>
      <c r="U66" s="31">
        <v>0</v>
      </c>
      <c r="V66" s="31">
        <v>0</v>
      </c>
      <c r="W66" s="32">
        <v>0</v>
      </c>
      <c r="X66" s="31">
        <v>0</v>
      </c>
      <c r="Y66" s="32">
        <v>0</v>
      </c>
      <c r="Z66" s="33">
        <v>0</v>
      </c>
      <c r="AA66" s="3"/>
      <c r="AB66" s="26">
        <v>12</v>
      </c>
      <c r="AC66" s="26">
        <v>0</v>
      </c>
      <c r="AD66" s="26">
        <v>1</v>
      </c>
      <c r="AE66" s="26">
        <v>1</v>
      </c>
      <c r="AF66" s="26">
        <v>1</v>
      </c>
      <c r="AG66" s="26">
        <v>1</v>
      </c>
    </row>
    <row r="67" spans="1:35" ht="15.75" thickBot="1" x14ac:dyDescent="0.3">
      <c r="A67" s="28" t="s">
        <v>121</v>
      </c>
      <c r="B67" s="29" t="s">
        <v>145</v>
      </c>
      <c r="C67" s="30" t="s">
        <v>148</v>
      </c>
      <c r="D67" s="30" t="s">
        <v>149</v>
      </c>
      <c r="E67" s="31">
        <v>0</v>
      </c>
      <c r="F67" s="31">
        <v>3</v>
      </c>
      <c r="G67" s="31">
        <v>0</v>
      </c>
      <c r="H67" s="31">
        <v>0</v>
      </c>
      <c r="I67" s="32">
        <v>0</v>
      </c>
      <c r="J67" s="32">
        <v>0</v>
      </c>
      <c r="K67" s="24">
        <v>0</v>
      </c>
      <c r="L67" s="31">
        <v>0</v>
      </c>
      <c r="M67" s="32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2">
        <v>0</v>
      </c>
      <c r="T67" s="31">
        <v>0</v>
      </c>
      <c r="U67" s="31">
        <v>0</v>
      </c>
      <c r="V67" s="31">
        <v>0</v>
      </c>
      <c r="W67" s="32">
        <v>0</v>
      </c>
      <c r="X67" s="31">
        <v>0</v>
      </c>
      <c r="Y67" s="32">
        <v>0</v>
      </c>
      <c r="Z67" s="33">
        <v>0</v>
      </c>
      <c r="AA67" s="3"/>
      <c r="AB67" s="26">
        <v>12</v>
      </c>
      <c r="AC67" s="26">
        <v>0</v>
      </c>
      <c r="AD67" s="26">
        <v>1</v>
      </c>
      <c r="AE67" s="26">
        <v>1</v>
      </c>
      <c r="AF67" s="26">
        <v>1</v>
      </c>
      <c r="AG67" s="26">
        <v>1</v>
      </c>
    </row>
    <row r="68" spans="1:35" ht="24.75" customHeight="1" thickBot="1" x14ac:dyDescent="0.3">
      <c r="A68" s="28" t="s">
        <v>121</v>
      </c>
      <c r="B68" s="29" t="s">
        <v>150</v>
      </c>
      <c r="C68" s="30" t="s">
        <v>151</v>
      </c>
      <c r="D68" s="30" t="s">
        <v>152</v>
      </c>
      <c r="E68" s="31">
        <v>0</v>
      </c>
      <c r="F68" s="31">
        <v>4</v>
      </c>
      <c r="G68" s="31">
        <v>0</v>
      </c>
      <c r="H68" s="31">
        <v>0</v>
      </c>
      <c r="I68" s="32">
        <v>0</v>
      </c>
      <c r="J68" s="32">
        <v>0</v>
      </c>
      <c r="K68" s="24">
        <v>0</v>
      </c>
      <c r="L68" s="31">
        <v>0</v>
      </c>
      <c r="M68" s="32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2">
        <v>0</v>
      </c>
      <c r="T68" s="31">
        <v>0</v>
      </c>
      <c r="U68" s="31">
        <v>0</v>
      </c>
      <c r="V68" s="31">
        <v>0</v>
      </c>
      <c r="W68" s="32">
        <v>0</v>
      </c>
      <c r="X68" s="31">
        <v>0</v>
      </c>
      <c r="Y68" s="32">
        <v>0</v>
      </c>
      <c r="Z68" s="33">
        <v>0</v>
      </c>
      <c r="AA68" s="38">
        <f>AA73*9</f>
        <v>9326635204.2454453</v>
      </c>
      <c r="AB68" s="26">
        <v>32</v>
      </c>
      <c r="AC68" s="26">
        <v>0</v>
      </c>
      <c r="AD68" s="26">
        <v>1</v>
      </c>
      <c r="AE68" s="26">
        <v>1</v>
      </c>
      <c r="AF68" s="26">
        <v>1</v>
      </c>
      <c r="AG68" s="26">
        <v>1</v>
      </c>
    </row>
    <row r="69" spans="1:35" ht="15.75" thickBot="1" x14ac:dyDescent="0.3">
      <c r="A69" s="79"/>
      <c r="B69" s="80"/>
      <c r="C69" s="80"/>
      <c r="D69" s="80"/>
      <c r="E69" s="81"/>
      <c r="F69" s="82"/>
      <c r="G69" s="82"/>
      <c r="H69" s="82"/>
      <c r="I69" s="83"/>
      <c r="J69" s="83"/>
      <c r="K69" s="84"/>
      <c r="L69" s="82"/>
      <c r="M69" s="83"/>
      <c r="N69" s="82"/>
      <c r="O69" s="82"/>
      <c r="P69" s="82"/>
      <c r="Q69" s="82"/>
      <c r="R69" s="82"/>
      <c r="S69" s="83"/>
      <c r="T69" s="82"/>
      <c r="U69" s="82"/>
      <c r="V69" s="82"/>
      <c r="W69" s="83"/>
      <c r="X69" s="82"/>
      <c r="Y69" s="83"/>
      <c r="Z69" s="85"/>
      <c r="AA69" s="3"/>
      <c r="AB69" s="86"/>
      <c r="AC69" s="86"/>
      <c r="AD69" s="86"/>
      <c r="AE69" s="86"/>
      <c r="AF69" s="86"/>
      <c r="AG69" s="86"/>
    </row>
    <row r="70" spans="1:35" ht="15.75" thickBot="1" x14ac:dyDescent="0.3">
      <c r="A70" s="202" t="s">
        <v>94</v>
      </c>
      <c r="B70" s="203"/>
      <c r="C70" s="203"/>
      <c r="D70" s="204"/>
      <c r="E70" s="39">
        <f t="shared" ref="E70:AG70" si="18">SUM(E52:E68)</f>
        <v>2</v>
      </c>
      <c r="F70" s="40">
        <f>SUM(F52:F69)</f>
        <v>53</v>
      </c>
      <c r="G70" s="40">
        <f t="shared" si="18"/>
        <v>0</v>
      </c>
      <c r="H70" s="40">
        <f t="shared" si="18"/>
        <v>0</v>
      </c>
      <c r="I70" s="41">
        <f t="shared" si="18"/>
        <v>0</v>
      </c>
      <c r="J70" s="41">
        <f t="shared" si="18"/>
        <v>0</v>
      </c>
      <c r="K70" s="41"/>
      <c r="L70" s="40">
        <f t="shared" si="18"/>
        <v>0</v>
      </c>
      <c r="M70" s="41">
        <f t="shared" si="18"/>
        <v>0</v>
      </c>
      <c r="N70" s="40">
        <f t="shared" si="18"/>
        <v>0</v>
      </c>
      <c r="O70" s="40">
        <f t="shared" si="18"/>
        <v>0</v>
      </c>
      <c r="P70" s="40">
        <f t="shared" si="18"/>
        <v>0</v>
      </c>
      <c r="Q70" s="40">
        <f t="shared" si="18"/>
        <v>0</v>
      </c>
      <c r="R70" s="40">
        <f t="shared" si="18"/>
        <v>0</v>
      </c>
      <c r="S70" s="41">
        <f t="shared" si="18"/>
        <v>0</v>
      </c>
      <c r="T70" s="40">
        <f t="shared" si="18"/>
        <v>0</v>
      </c>
      <c r="U70" s="40">
        <f t="shared" si="18"/>
        <v>0</v>
      </c>
      <c r="V70" s="40">
        <f t="shared" si="18"/>
        <v>0</v>
      </c>
      <c r="W70" s="41">
        <f t="shared" si="18"/>
        <v>0</v>
      </c>
      <c r="X70" s="40">
        <f t="shared" si="18"/>
        <v>0</v>
      </c>
      <c r="Y70" s="41">
        <f t="shared" si="18"/>
        <v>0</v>
      </c>
      <c r="Z70" s="42">
        <f t="shared" si="18"/>
        <v>0</v>
      </c>
      <c r="AA70" s="43">
        <f>SUM(E70:Z70)</f>
        <v>55</v>
      </c>
      <c r="AB70" s="44">
        <f t="shared" si="18"/>
        <v>174</v>
      </c>
      <c r="AC70" s="44">
        <f t="shared" si="18"/>
        <v>10</v>
      </c>
      <c r="AD70" s="44">
        <f t="shared" si="18"/>
        <v>12</v>
      </c>
      <c r="AE70" s="44">
        <f t="shared" si="18"/>
        <v>12</v>
      </c>
      <c r="AF70" s="44">
        <f t="shared" si="18"/>
        <v>9</v>
      </c>
      <c r="AG70" s="44">
        <f t="shared" si="18"/>
        <v>12</v>
      </c>
    </row>
    <row r="71" spans="1:35" s="75" customFormat="1" ht="15.75" thickBot="1" x14ac:dyDescent="0.3">
      <c r="A71" s="68"/>
      <c r="B71" s="69"/>
      <c r="C71" s="69"/>
      <c r="D71" s="69"/>
      <c r="E71" s="70"/>
      <c r="F71" s="70"/>
      <c r="G71" s="70"/>
      <c r="H71" s="70"/>
      <c r="I71" s="71"/>
      <c r="J71" s="71"/>
      <c r="K71" s="71"/>
      <c r="L71" s="70"/>
      <c r="M71" s="71"/>
      <c r="N71" s="70"/>
      <c r="O71" s="70"/>
      <c r="P71" s="70"/>
      <c r="Q71" s="70"/>
      <c r="R71" s="70"/>
      <c r="S71" s="71"/>
      <c r="T71" s="70"/>
      <c r="U71" s="70"/>
      <c r="V71" s="70"/>
      <c r="W71" s="71"/>
      <c r="X71" s="70"/>
      <c r="Y71" s="71"/>
      <c r="Z71" s="72"/>
      <c r="AA71" s="73">
        <f>SUM(E71:Z71)</f>
        <v>0</v>
      </c>
      <c r="AB71" s="74"/>
      <c r="AC71" s="74"/>
      <c r="AD71" s="74"/>
      <c r="AE71" s="74"/>
      <c r="AF71" s="74"/>
      <c r="AG71" s="74"/>
      <c r="AI71" s="76"/>
    </row>
    <row r="72" spans="1:35" ht="15.75" thickBot="1" x14ac:dyDescent="0.3">
      <c r="A72" s="45"/>
      <c r="B72" s="199" t="s">
        <v>95</v>
      </c>
      <c r="C72" s="199"/>
      <c r="D72" s="46"/>
      <c r="E72" s="47"/>
      <c r="F72" s="47"/>
      <c r="G72" s="47"/>
      <c r="H72" s="47"/>
      <c r="I72" s="48"/>
      <c r="J72" s="48"/>
      <c r="K72" s="48"/>
      <c r="L72" s="47"/>
      <c r="M72" s="48"/>
      <c r="N72" s="47"/>
      <c r="O72" s="47"/>
      <c r="P72" s="47"/>
      <c r="Q72" s="47"/>
      <c r="R72" s="47"/>
      <c r="S72" s="48"/>
      <c r="T72" s="47"/>
      <c r="U72" s="47"/>
      <c r="V72" s="47"/>
      <c r="W72" s="48"/>
      <c r="X72" s="47"/>
      <c r="Y72" s="48"/>
      <c r="Z72" s="49"/>
      <c r="AA72" s="53">
        <f>SUM(E72:Z72)</f>
        <v>0</v>
      </c>
      <c r="AB72" s="74"/>
      <c r="AC72" s="74"/>
      <c r="AD72" s="74"/>
      <c r="AE72" s="74"/>
      <c r="AF72" s="74"/>
      <c r="AG72" s="74"/>
    </row>
    <row r="73" spans="1:35" ht="15.75" thickBot="1" x14ac:dyDescent="0.3">
      <c r="A73" s="205" t="s">
        <v>96</v>
      </c>
      <c r="B73" s="206"/>
      <c r="C73" s="206"/>
      <c r="D73" s="206"/>
      <c r="E73" s="54">
        <f t="shared" ref="E73:J73" si="19">E70*E5</f>
        <v>38355386.289329991</v>
      </c>
      <c r="F73" s="54">
        <f t="shared" si="19"/>
        <v>997937414.18238604</v>
      </c>
      <c r="G73" s="54">
        <f t="shared" si="19"/>
        <v>0</v>
      </c>
      <c r="H73" s="54">
        <f t="shared" si="19"/>
        <v>0</v>
      </c>
      <c r="I73" s="55">
        <f t="shared" si="19"/>
        <v>0</v>
      </c>
      <c r="J73" s="55">
        <f t="shared" si="19"/>
        <v>0</v>
      </c>
      <c r="K73" s="55"/>
      <c r="L73" s="54">
        <f>L70*L5</f>
        <v>0</v>
      </c>
      <c r="M73" s="55">
        <f>M70*M5</f>
        <v>0</v>
      </c>
      <c r="N73" s="54">
        <f t="shared" ref="N73:Z73" si="20">N70*N5</f>
        <v>0</v>
      </c>
      <c r="O73" s="54">
        <f t="shared" si="20"/>
        <v>0</v>
      </c>
      <c r="P73" s="54">
        <f t="shared" si="20"/>
        <v>0</v>
      </c>
      <c r="Q73" s="54">
        <f t="shared" si="20"/>
        <v>0</v>
      </c>
      <c r="R73" s="54">
        <f t="shared" si="20"/>
        <v>0</v>
      </c>
      <c r="S73" s="55">
        <f t="shared" si="20"/>
        <v>0</v>
      </c>
      <c r="T73" s="54">
        <f t="shared" si="20"/>
        <v>0</v>
      </c>
      <c r="U73" s="54">
        <f t="shared" si="20"/>
        <v>0</v>
      </c>
      <c r="V73" s="54">
        <f t="shared" si="20"/>
        <v>0</v>
      </c>
      <c r="W73" s="55">
        <f t="shared" si="20"/>
        <v>0</v>
      </c>
      <c r="X73" s="54">
        <f t="shared" si="20"/>
        <v>0</v>
      </c>
      <c r="Y73" s="55">
        <f t="shared" si="20"/>
        <v>0</v>
      </c>
      <c r="Z73" s="56">
        <f t="shared" si="20"/>
        <v>0</v>
      </c>
      <c r="AA73" s="57">
        <f>SUM(E73:Z73)</f>
        <v>1036292800.471716</v>
      </c>
      <c r="AB73" s="77">
        <f t="shared" ref="AB73:AG73" si="21">AB70*AB5</f>
        <v>5255942.0200000005</v>
      </c>
      <c r="AC73" s="77">
        <f t="shared" si="21"/>
        <v>1174121.4333333333</v>
      </c>
      <c r="AD73" s="77">
        <f t="shared" si="21"/>
        <v>1804906.3199999998</v>
      </c>
      <c r="AE73" s="77">
        <f t="shared" si="21"/>
        <v>1310570.8</v>
      </c>
      <c r="AF73" s="77">
        <f t="shared" si="21"/>
        <v>3099552.5399999996</v>
      </c>
      <c r="AG73" s="77">
        <f t="shared" si="21"/>
        <v>1390700.6400000001</v>
      </c>
    </row>
    <row r="74" spans="1:35" ht="15.75" thickBot="1" x14ac:dyDescent="0.3">
      <c r="A74" s="20" t="s">
        <v>153</v>
      </c>
      <c r="B74" s="87" t="s">
        <v>38</v>
      </c>
      <c r="C74" s="22" t="s">
        <v>154</v>
      </c>
      <c r="D74" s="22" t="s">
        <v>155</v>
      </c>
      <c r="E74" s="23">
        <v>0</v>
      </c>
      <c r="F74" s="23">
        <v>0</v>
      </c>
      <c r="G74" s="23">
        <v>0</v>
      </c>
      <c r="H74" s="23">
        <v>0</v>
      </c>
      <c r="I74" s="24">
        <v>0</v>
      </c>
      <c r="J74" s="24">
        <v>0</v>
      </c>
      <c r="K74" s="24">
        <v>0</v>
      </c>
      <c r="L74" s="23">
        <v>0</v>
      </c>
      <c r="M74" s="24">
        <v>0</v>
      </c>
      <c r="N74" s="23">
        <v>1</v>
      </c>
      <c r="O74" s="23">
        <v>0</v>
      </c>
      <c r="P74" s="23">
        <v>0</v>
      </c>
      <c r="Q74" s="23">
        <v>0</v>
      </c>
      <c r="R74" s="23">
        <v>0</v>
      </c>
      <c r="S74" s="24">
        <v>0</v>
      </c>
      <c r="T74" s="23">
        <v>0</v>
      </c>
      <c r="U74" s="23">
        <v>0</v>
      </c>
      <c r="V74" s="23">
        <v>0</v>
      </c>
      <c r="W74" s="24">
        <v>0</v>
      </c>
      <c r="X74" s="23">
        <v>0</v>
      </c>
      <c r="Y74" s="24">
        <v>0</v>
      </c>
      <c r="Z74" s="25">
        <v>0</v>
      </c>
      <c r="AA74" s="3"/>
      <c r="AB74" s="26">
        <v>10</v>
      </c>
      <c r="AC74" s="26">
        <v>2</v>
      </c>
      <c r="AD74" s="26">
        <v>1</v>
      </c>
      <c r="AE74" s="26">
        <v>1</v>
      </c>
      <c r="AF74" s="26">
        <v>1</v>
      </c>
      <c r="AG74" s="26">
        <v>0</v>
      </c>
    </row>
    <row r="75" spans="1:35" ht="27.75" thickBot="1" x14ac:dyDescent="0.3">
      <c r="A75" s="28" t="s">
        <v>153</v>
      </c>
      <c r="B75" s="88" t="s">
        <v>156</v>
      </c>
      <c r="C75" s="30" t="s">
        <v>154</v>
      </c>
      <c r="D75" s="30" t="s">
        <v>155</v>
      </c>
      <c r="E75" s="31">
        <v>0</v>
      </c>
      <c r="F75" s="31">
        <v>4</v>
      </c>
      <c r="G75" s="31">
        <v>0</v>
      </c>
      <c r="H75" s="31">
        <v>0</v>
      </c>
      <c r="I75" s="32">
        <v>0</v>
      </c>
      <c r="J75" s="32">
        <v>0</v>
      </c>
      <c r="K75" s="24">
        <v>0</v>
      </c>
      <c r="L75" s="31">
        <v>0</v>
      </c>
      <c r="M75" s="32">
        <v>0</v>
      </c>
      <c r="N75" s="31">
        <v>1</v>
      </c>
      <c r="O75" s="31">
        <v>0</v>
      </c>
      <c r="P75" s="31">
        <v>1</v>
      </c>
      <c r="Q75" s="31">
        <v>0</v>
      </c>
      <c r="R75" s="31">
        <v>0</v>
      </c>
      <c r="S75" s="32">
        <v>0</v>
      </c>
      <c r="T75" s="31">
        <v>0</v>
      </c>
      <c r="U75" s="31">
        <v>0</v>
      </c>
      <c r="V75" s="31">
        <v>0</v>
      </c>
      <c r="W75" s="32">
        <v>0</v>
      </c>
      <c r="X75" s="31">
        <v>0</v>
      </c>
      <c r="Y75" s="32">
        <v>0</v>
      </c>
      <c r="Z75" s="33">
        <v>0</v>
      </c>
      <c r="AA75" s="3"/>
      <c r="AB75" s="26">
        <v>16</v>
      </c>
      <c r="AC75" s="26">
        <v>1</v>
      </c>
      <c r="AD75" s="26">
        <f>1-1</f>
        <v>0</v>
      </c>
      <c r="AE75" s="26">
        <v>1</v>
      </c>
      <c r="AF75" s="26">
        <v>0</v>
      </c>
      <c r="AG75" s="26">
        <v>2</v>
      </c>
    </row>
    <row r="76" spans="1:35" ht="27.75" thickBot="1" x14ac:dyDescent="0.3">
      <c r="A76" s="28" t="s">
        <v>153</v>
      </c>
      <c r="B76" s="88" t="s">
        <v>156</v>
      </c>
      <c r="C76" s="30" t="s">
        <v>157</v>
      </c>
      <c r="D76" s="30" t="s">
        <v>158</v>
      </c>
      <c r="E76" s="31">
        <v>0</v>
      </c>
      <c r="F76" s="31">
        <v>1</v>
      </c>
      <c r="G76" s="31">
        <v>0</v>
      </c>
      <c r="H76" s="31">
        <v>0</v>
      </c>
      <c r="I76" s="32">
        <v>0</v>
      </c>
      <c r="J76" s="32">
        <v>0</v>
      </c>
      <c r="K76" s="24">
        <v>0</v>
      </c>
      <c r="L76" s="31">
        <v>0</v>
      </c>
      <c r="M76" s="32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2">
        <v>0</v>
      </c>
      <c r="T76" s="31">
        <v>0</v>
      </c>
      <c r="U76" s="31">
        <v>0</v>
      </c>
      <c r="V76" s="31">
        <v>0</v>
      </c>
      <c r="W76" s="32">
        <v>0</v>
      </c>
      <c r="X76" s="31">
        <v>0</v>
      </c>
      <c r="Y76" s="32">
        <v>0</v>
      </c>
      <c r="Z76" s="33">
        <v>0</v>
      </c>
      <c r="AA76" s="3"/>
      <c r="AB76" s="26">
        <v>15</v>
      </c>
      <c r="AC76" s="26">
        <v>1</v>
      </c>
      <c r="AD76" s="26">
        <v>1</v>
      </c>
      <c r="AE76" s="26">
        <v>1</v>
      </c>
      <c r="AF76" s="26">
        <v>1</v>
      </c>
      <c r="AG76" s="26">
        <v>2</v>
      </c>
    </row>
    <row r="77" spans="1:35" ht="27.75" thickBot="1" x14ac:dyDescent="0.3">
      <c r="A77" s="28" t="s">
        <v>153</v>
      </c>
      <c r="B77" s="88" t="s">
        <v>156</v>
      </c>
      <c r="C77" s="30" t="s">
        <v>159</v>
      </c>
      <c r="D77" s="30" t="s">
        <v>160</v>
      </c>
      <c r="E77" s="31">
        <v>0</v>
      </c>
      <c r="F77" s="31">
        <v>4</v>
      </c>
      <c r="G77" s="31">
        <v>0</v>
      </c>
      <c r="H77" s="31">
        <v>0</v>
      </c>
      <c r="I77" s="32">
        <v>0</v>
      </c>
      <c r="J77" s="32">
        <v>0</v>
      </c>
      <c r="K77" s="24">
        <v>0</v>
      </c>
      <c r="L77" s="31">
        <v>0</v>
      </c>
      <c r="M77" s="32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2">
        <v>0</v>
      </c>
      <c r="T77" s="31">
        <v>0</v>
      </c>
      <c r="U77" s="31">
        <v>0</v>
      </c>
      <c r="V77" s="31">
        <v>0</v>
      </c>
      <c r="W77" s="32">
        <v>0</v>
      </c>
      <c r="X77" s="31">
        <v>0</v>
      </c>
      <c r="Y77" s="32">
        <v>0</v>
      </c>
      <c r="Z77" s="33">
        <v>0</v>
      </c>
      <c r="AA77" s="3"/>
      <c r="AB77" s="26">
        <v>10</v>
      </c>
      <c r="AC77" s="26">
        <v>0</v>
      </c>
      <c r="AD77" s="26">
        <v>1</v>
      </c>
      <c r="AE77" s="26">
        <v>0</v>
      </c>
      <c r="AF77" s="26">
        <v>0</v>
      </c>
      <c r="AG77" s="26">
        <v>1</v>
      </c>
    </row>
    <row r="78" spans="1:35" ht="27.75" thickBot="1" x14ac:dyDescent="0.3">
      <c r="A78" s="28" t="s">
        <v>153</v>
      </c>
      <c r="B78" s="89" t="s">
        <v>161</v>
      </c>
      <c r="C78" s="30" t="s">
        <v>162</v>
      </c>
      <c r="D78" s="30" t="s">
        <v>155</v>
      </c>
      <c r="E78" s="31">
        <v>1</v>
      </c>
      <c r="F78" s="31">
        <v>5</v>
      </c>
      <c r="G78" s="31">
        <v>1</v>
      </c>
      <c r="H78" s="31">
        <v>0</v>
      </c>
      <c r="I78" s="32">
        <v>0</v>
      </c>
      <c r="J78" s="32">
        <v>0</v>
      </c>
      <c r="K78" s="24">
        <v>0</v>
      </c>
      <c r="L78" s="31">
        <v>0</v>
      </c>
      <c r="M78" s="32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2">
        <v>0</v>
      </c>
      <c r="T78" s="31">
        <v>0</v>
      </c>
      <c r="U78" s="31">
        <v>0</v>
      </c>
      <c r="V78" s="31">
        <v>0</v>
      </c>
      <c r="W78" s="32">
        <v>0</v>
      </c>
      <c r="X78" s="31">
        <v>0</v>
      </c>
      <c r="Y78" s="32">
        <v>0</v>
      </c>
      <c r="Z78" s="33">
        <v>0</v>
      </c>
      <c r="AA78" s="3"/>
      <c r="AB78" s="26">
        <v>26</v>
      </c>
      <c r="AC78" s="26">
        <v>2</v>
      </c>
      <c r="AD78" s="26">
        <v>2</v>
      </c>
      <c r="AE78" s="26">
        <v>2</v>
      </c>
      <c r="AF78" s="26">
        <v>1</v>
      </c>
      <c r="AG78" s="26">
        <v>3</v>
      </c>
    </row>
    <row r="79" spans="1:35" ht="41.25" thickBot="1" x14ac:dyDescent="0.3">
      <c r="A79" s="62" t="s">
        <v>153</v>
      </c>
      <c r="B79" s="90" t="s">
        <v>163</v>
      </c>
      <c r="C79" s="64" t="s">
        <v>164</v>
      </c>
      <c r="D79" s="64" t="s">
        <v>155</v>
      </c>
      <c r="E79" s="65">
        <v>1</v>
      </c>
      <c r="F79" s="65">
        <v>4</v>
      </c>
      <c r="G79" s="65">
        <v>0</v>
      </c>
      <c r="H79" s="65">
        <v>0</v>
      </c>
      <c r="I79" s="66">
        <v>0</v>
      </c>
      <c r="J79" s="66">
        <v>0</v>
      </c>
      <c r="K79" s="24">
        <v>0</v>
      </c>
      <c r="L79" s="65">
        <v>0</v>
      </c>
      <c r="M79" s="66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6">
        <v>0</v>
      </c>
      <c r="T79" s="65">
        <v>0</v>
      </c>
      <c r="U79" s="65">
        <v>0</v>
      </c>
      <c r="V79" s="65">
        <v>0</v>
      </c>
      <c r="W79" s="66">
        <v>0</v>
      </c>
      <c r="X79" s="65">
        <v>0</v>
      </c>
      <c r="Y79" s="66">
        <v>0</v>
      </c>
      <c r="Z79" s="67">
        <v>0</v>
      </c>
      <c r="AA79" s="38">
        <f>AA83*9</f>
        <v>3782377318.7636309</v>
      </c>
      <c r="AB79" s="26">
        <v>13</v>
      </c>
      <c r="AC79" s="26">
        <v>0</v>
      </c>
      <c r="AD79" s="26">
        <v>1</v>
      </c>
      <c r="AE79" s="26">
        <v>1</v>
      </c>
      <c r="AF79" s="26">
        <v>1</v>
      </c>
      <c r="AG79" s="26">
        <v>1</v>
      </c>
    </row>
    <row r="80" spans="1:35" ht="15.75" thickBot="1" x14ac:dyDescent="0.3">
      <c r="A80" s="202" t="s">
        <v>94</v>
      </c>
      <c r="B80" s="203"/>
      <c r="C80" s="203"/>
      <c r="D80" s="204"/>
      <c r="E80" s="39">
        <f>SUM(E74:E79)</f>
        <v>2</v>
      </c>
      <c r="F80" s="40">
        <f t="shared" ref="F80:AG80" si="22">SUM(F74:F79)</f>
        <v>18</v>
      </c>
      <c r="G80" s="40">
        <f t="shared" si="22"/>
        <v>1</v>
      </c>
      <c r="H80" s="40">
        <f t="shared" si="22"/>
        <v>0</v>
      </c>
      <c r="I80" s="41">
        <f t="shared" si="22"/>
        <v>0</v>
      </c>
      <c r="J80" s="41">
        <f t="shared" si="22"/>
        <v>0</v>
      </c>
      <c r="K80" s="41"/>
      <c r="L80" s="40">
        <f t="shared" si="22"/>
        <v>0</v>
      </c>
      <c r="M80" s="41">
        <f t="shared" si="22"/>
        <v>0</v>
      </c>
      <c r="N80" s="40">
        <f t="shared" si="22"/>
        <v>2</v>
      </c>
      <c r="O80" s="40">
        <f t="shared" si="22"/>
        <v>0</v>
      </c>
      <c r="P80" s="40">
        <f t="shared" si="22"/>
        <v>1</v>
      </c>
      <c r="Q80" s="40">
        <f t="shared" si="22"/>
        <v>0</v>
      </c>
      <c r="R80" s="40">
        <f t="shared" si="22"/>
        <v>0</v>
      </c>
      <c r="S80" s="41">
        <f t="shared" si="22"/>
        <v>0</v>
      </c>
      <c r="T80" s="40">
        <f t="shared" si="22"/>
        <v>0</v>
      </c>
      <c r="U80" s="40">
        <f t="shared" si="22"/>
        <v>0</v>
      </c>
      <c r="V80" s="40">
        <f t="shared" si="22"/>
        <v>0</v>
      </c>
      <c r="W80" s="41">
        <f t="shared" si="22"/>
        <v>0</v>
      </c>
      <c r="X80" s="40">
        <f t="shared" si="22"/>
        <v>0</v>
      </c>
      <c r="Y80" s="41">
        <f t="shared" si="22"/>
        <v>0</v>
      </c>
      <c r="Z80" s="42">
        <f t="shared" si="22"/>
        <v>0</v>
      </c>
      <c r="AA80" s="43">
        <f>SUM(E80:Z80)</f>
        <v>24</v>
      </c>
      <c r="AB80" s="44">
        <f t="shared" si="22"/>
        <v>90</v>
      </c>
      <c r="AC80" s="44">
        <f t="shared" si="22"/>
        <v>6</v>
      </c>
      <c r="AD80" s="44">
        <f t="shared" si="22"/>
        <v>6</v>
      </c>
      <c r="AE80" s="44">
        <f t="shared" si="22"/>
        <v>6</v>
      </c>
      <c r="AF80" s="44">
        <f t="shared" si="22"/>
        <v>4</v>
      </c>
      <c r="AG80" s="44">
        <f t="shared" si="22"/>
        <v>9</v>
      </c>
    </row>
    <row r="81" spans="1:35" s="75" customFormat="1" ht="15.75" thickBot="1" x14ac:dyDescent="0.3">
      <c r="A81" s="68"/>
      <c r="B81" s="69"/>
      <c r="C81" s="69"/>
      <c r="D81" s="69"/>
      <c r="E81" s="70"/>
      <c r="F81" s="70"/>
      <c r="G81" s="70"/>
      <c r="H81" s="70"/>
      <c r="I81" s="71"/>
      <c r="J81" s="71"/>
      <c r="K81" s="71"/>
      <c r="L81" s="70"/>
      <c r="M81" s="71"/>
      <c r="N81" s="70"/>
      <c r="O81" s="70"/>
      <c r="P81" s="70"/>
      <c r="Q81" s="70"/>
      <c r="R81" s="70"/>
      <c r="S81" s="71"/>
      <c r="T81" s="70"/>
      <c r="U81" s="70"/>
      <c r="V81" s="70"/>
      <c r="W81" s="71"/>
      <c r="X81" s="70"/>
      <c r="Y81" s="71"/>
      <c r="Z81" s="72"/>
      <c r="AA81" s="73">
        <f>SUM(E81:Z81)</f>
        <v>0</v>
      </c>
      <c r="AB81" s="74"/>
      <c r="AC81" s="74"/>
      <c r="AD81" s="74"/>
      <c r="AE81" s="74"/>
      <c r="AF81" s="74"/>
      <c r="AG81" s="74"/>
      <c r="AI81" s="76"/>
    </row>
    <row r="82" spans="1:35" ht="15.75" thickBot="1" x14ac:dyDescent="0.3">
      <c r="A82" s="45"/>
      <c r="B82" s="199" t="s">
        <v>95</v>
      </c>
      <c r="C82" s="199"/>
      <c r="D82" s="46"/>
      <c r="E82" s="47"/>
      <c r="F82" s="47"/>
      <c r="G82" s="47"/>
      <c r="H82" s="47"/>
      <c r="I82" s="48"/>
      <c r="J82" s="48"/>
      <c r="K82" s="48"/>
      <c r="L82" s="47"/>
      <c r="M82" s="48"/>
      <c r="N82" s="47"/>
      <c r="O82" s="47"/>
      <c r="P82" s="47"/>
      <c r="Q82" s="47"/>
      <c r="R82" s="47"/>
      <c r="S82" s="48"/>
      <c r="T82" s="47"/>
      <c r="U82" s="47"/>
      <c r="V82" s="47"/>
      <c r="W82" s="48"/>
      <c r="X82" s="47"/>
      <c r="Y82" s="48"/>
      <c r="Z82" s="49"/>
      <c r="AA82" s="53">
        <f>SUM(E82:Z82)</f>
        <v>0</v>
      </c>
      <c r="AB82" s="74"/>
      <c r="AC82" s="74"/>
      <c r="AD82" s="74"/>
      <c r="AE82" s="74"/>
      <c r="AF82" s="74"/>
      <c r="AG82" s="74"/>
    </row>
    <row r="83" spans="1:35" ht="15.75" thickBot="1" x14ac:dyDescent="0.3">
      <c r="A83" s="205" t="s">
        <v>96</v>
      </c>
      <c r="B83" s="206"/>
      <c r="C83" s="206"/>
      <c r="D83" s="206"/>
      <c r="E83" s="54">
        <f t="shared" ref="E83:J83" si="23">E80*E5</f>
        <v>38355386.289329991</v>
      </c>
      <c r="F83" s="54">
        <f t="shared" si="23"/>
        <v>338922140.66571599</v>
      </c>
      <c r="G83" s="54">
        <f t="shared" si="23"/>
        <v>18829007.814762</v>
      </c>
      <c r="H83" s="54">
        <f t="shared" si="23"/>
        <v>0</v>
      </c>
      <c r="I83" s="55">
        <f t="shared" si="23"/>
        <v>0</v>
      </c>
      <c r="J83" s="55">
        <f t="shared" si="23"/>
        <v>0</v>
      </c>
      <c r="K83" s="55"/>
      <c r="L83" s="54">
        <f>L80*L5</f>
        <v>0</v>
      </c>
      <c r="M83" s="55">
        <f>M80*M5</f>
        <v>0</v>
      </c>
      <c r="N83" s="54">
        <f t="shared" ref="N83:Z83" si="24">N80*N5</f>
        <v>18643319.563148782</v>
      </c>
      <c r="O83" s="54">
        <f t="shared" si="24"/>
        <v>0</v>
      </c>
      <c r="P83" s="54">
        <f t="shared" si="24"/>
        <v>5514292.196335529</v>
      </c>
      <c r="Q83" s="54">
        <f t="shared" si="24"/>
        <v>0</v>
      </c>
      <c r="R83" s="54">
        <f t="shared" si="24"/>
        <v>0</v>
      </c>
      <c r="S83" s="55">
        <f t="shared" si="24"/>
        <v>0</v>
      </c>
      <c r="T83" s="54">
        <f t="shared" si="24"/>
        <v>0</v>
      </c>
      <c r="U83" s="54">
        <f t="shared" si="24"/>
        <v>0</v>
      </c>
      <c r="V83" s="54">
        <f t="shared" si="24"/>
        <v>0</v>
      </c>
      <c r="W83" s="55">
        <f t="shared" si="24"/>
        <v>0</v>
      </c>
      <c r="X83" s="54">
        <f t="shared" si="24"/>
        <v>0</v>
      </c>
      <c r="Y83" s="55">
        <f t="shared" si="24"/>
        <v>0</v>
      </c>
      <c r="Z83" s="56">
        <f t="shared" si="24"/>
        <v>0</v>
      </c>
      <c r="AA83" s="57">
        <f>SUM(E83:Z83)</f>
        <v>420264146.52929235</v>
      </c>
      <c r="AB83" s="77">
        <f t="shared" ref="AB83:AG83" si="25">AB80*AB5</f>
        <v>2718590.7</v>
      </c>
      <c r="AC83" s="77">
        <f t="shared" si="25"/>
        <v>704472.8600000001</v>
      </c>
      <c r="AD83" s="77">
        <f t="shared" si="25"/>
        <v>902453.15999999992</v>
      </c>
      <c r="AE83" s="77">
        <f t="shared" si="25"/>
        <v>655285.4</v>
      </c>
      <c r="AF83" s="77">
        <f t="shared" si="25"/>
        <v>1377578.9066666665</v>
      </c>
      <c r="AG83" s="77">
        <f t="shared" si="25"/>
        <v>1043025.48</v>
      </c>
    </row>
    <row r="84" spans="1:35" ht="27.75" thickBot="1" x14ac:dyDescent="0.3">
      <c r="A84" s="20" t="s">
        <v>165</v>
      </c>
      <c r="B84" s="87" t="s">
        <v>166</v>
      </c>
      <c r="C84" s="22" t="s">
        <v>167</v>
      </c>
      <c r="D84" s="22" t="s">
        <v>168</v>
      </c>
      <c r="E84" s="23">
        <v>0</v>
      </c>
      <c r="F84" s="23">
        <v>1</v>
      </c>
      <c r="G84" s="23">
        <v>0</v>
      </c>
      <c r="H84" s="23">
        <v>0</v>
      </c>
      <c r="I84" s="24">
        <v>0</v>
      </c>
      <c r="J84" s="24">
        <v>0</v>
      </c>
      <c r="K84" s="24">
        <v>0</v>
      </c>
      <c r="L84" s="23">
        <v>0</v>
      </c>
      <c r="M84" s="24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4">
        <v>0</v>
      </c>
      <c r="T84" s="23">
        <v>0</v>
      </c>
      <c r="U84" s="23">
        <v>0</v>
      </c>
      <c r="V84" s="23">
        <v>0</v>
      </c>
      <c r="W84" s="24">
        <v>0</v>
      </c>
      <c r="X84" s="23">
        <v>0</v>
      </c>
      <c r="Y84" s="24">
        <v>0</v>
      </c>
      <c r="Z84" s="25">
        <v>0</v>
      </c>
      <c r="AA84" s="3"/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</row>
    <row r="85" spans="1:35" ht="41.25" thickBot="1" x14ac:dyDescent="0.3">
      <c r="A85" s="28" t="s">
        <v>165</v>
      </c>
      <c r="B85" s="91" t="s">
        <v>169</v>
      </c>
      <c r="C85" s="30" t="s">
        <v>170</v>
      </c>
      <c r="D85" s="30" t="s">
        <v>168</v>
      </c>
      <c r="E85" s="31">
        <v>0</v>
      </c>
      <c r="F85" s="31">
        <v>6</v>
      </c>
      <c r="G85" s="31">
        <v>1</v>
      </c>
      <c r="H85" s="31">
        <v>0</v>
      </c>
      <c r="I85" s="32">
        <v>0</v>
      </c>
      <c r="J85" s="32">
        <v>0</v>
      </c>
      <c r="K85" s="24">
        <v>0</v>
      </c>
      <c r="L85" s="31">
        <v>0</v>
      </c>
      <c r="M85" s="32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2">
        <v>0</v>
      </c>
      <c r="T85" s="31">
        <v>0</v>
      </c>
      <c r="U85" s="31">
        <v>0</v>
      </c>
      <c r="V85" s="31">
        <v>0</v>
      </c>
      <c r="W85" s="32">
        <v>0</v>
      </c>
      <c r="X85" s="31">
        <v>0</v>
      </c>
      <c r="Y85" s="32">
        <v>0</v>
      </c>
      <c r="Z85" s="33">
        <v>0</v>
      </c>
      <c r="AA85" s="3"/>
      <c r="AB85" s="35">
        <v>40</v>
      </c>
      <c r="AC85" s="35">
        <v>5</v>
      </c>
      <c r="AD85" s="35">
        <v>2</v>
      </c>
      <c r="AE85" s="35">
        <v>2</v>
      </c>
      <c r="AF85" s="35">
        <v>1</v>
      </c>
      <c r="AG85" s="35">
        <v>7</v>
      </c>
    </row>
    <row r="86" spans="1:35" ht="27.75" thickBot="1" x14ac:dyDescent="0.3">
      <c r="A86" s="28" t="s">
        <v>165</v>
      </c>
      <c r="B86" s="91" t="s">
        <v>171</v>
      </c>
      <c r="C86" s="30" t="s">
        <v>172</v>
      </c>
      <c r="D86" s="30" t="s">
        <v>168</v>
      </c>
      <c r="E86" s="31">
        <v>0</v>
      </c>
      <c r="F86" s="31">
        <v>0</v>
      </c>
      <c r="G86" s="31">
        <v>0</v>
      </c>
      <c r="H86" s="31">
        <v>0</v>
      </c>
      <c r="I86" s="32">
        <v>0</v>
      </c>
      <c r="J86" s="32">
        <v>0</v>
      </c>
      <c r="K86" s="24">
        <v>0</v>
      </c>
      <c r="L86" s="31">
        <v>0</v>
      </c>
      <c r="M86" s="32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2">
        <v>0</v>
      </c>
      <c r="T86" s="31">
        <v>0</v>
      </c>
      <c r="U86" s="31">
        <v>0</v>
      </c>
      <c r="V86" s="31">
        <v>0</v>
      </c>
      <c r="W86" s="32">
        <v>0</v>
      </c>
      <c r="X86" s="31">
        <v>0</v>
      </c>
      <c r="Y86" s="32">
        <v>0</v>
      </c>
      <c r="Z86" s="33">
        <v>0</v>
      </c>
      <c r="AA86" s="3"/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</row>
    <row r="87" spans="1:35" ht="27.75" thickBot="1" x14ac:dyDescent="0.3">
      <c r="A87" s="28" t="s">
        <v>165</v>
      </c>
      <c r="B87" s="91" t="s">
        <v>171</v>
      </c>
      <c r="C87" s="30" t="s">
        <v>173</v>
      </c>
      <c r="D87" s="30" t="s">
        <v>174</v>
      </c>
      <c r="E87" s="31">
        <v>0</v>
      </c>
      <c r="F87" s="31">
        <v>3</v>
      </c>
      <c r="G87" s="31">
        <v>0</v>
      </c>
      <c r="H87" s="31">
        <v>0</v>
      </c>
      <c r="I87" s="32">
        <v>0</v>
      </c>
      <c r="J87" s="32">
        <v>0</v>
      </c>
      <c r="K87" s="24">
        <v>0</v>
      </c>
      <c r="L87" s="31">
        <v>0</v>
      </c>
      <c r="M87" s="32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2">
        <v>0</v>
      </c>
      <c r="T87" s="31">
        <v>0</v>
      </c>
      <c r="U87" s="31">
        <v>0</v>
      </c>
      <c r="V87" s="31">
        <v>0</v>
      </c>
      <c r="W87" s="32">
        <v>0</v>
      </c>
      <c r="X87" s="31">
        <v>0</v>
      </c>
      <c r="Y87" s="32">
        <v>0</v>
      </c>
      <c r="Z87" s="33">
        <v>0</v>
      </c>
      <c r="AA87" s="3"/>
      <c r="AB87" s="35">
        <v>13</v>
      </c>
      <c r="AC87" s="35">
        <v>3</v>
      </c>
      <c r="AD87" s="35">
        <v>1</v>
      </c>
      <c r="AE87" s="35">
        <v>1</v>
      </c>
      <c r="AF87" s="35">
        <v>1</v>
      </c>
      <c r="AG87" s="35">
        <v>3</v>
      </c>
    </row>
    <row r="88" spans="1:35" ht="27.75" thickBot="1" x14ac:dyDescent="0.3">
      <c r="A88" s="28" t="s">
        <v>165</v>
      </c>
      <c r="B88" s="91" t="s">
        <v>169</v>
      </c>
      <c r="C88" s="30" t="s">
        <v>175</v>
      </c>
      <c r="D88" s="30" t="s">
        <v>168</v>
      </c>
      <c r="E88" s="31">
        <v>0</v>
      </c>
      <c r="F88" s="31">
        <v>7</v>
      </c>
      <c r="G88" s="31">
        <v>0</v>
      </c>
      <c r="H88" s="31">
        <v>0</v>
      </c>
      <c r="I88" s="32">
        <v>0</v>
      </c>
      <c r="J88" s="32">
        <v>0</v>
      </c>
      <c r="K88" s="24">
        <v>0</v>
      </c>
      <c r="L88" s="31">
        <v>0</v>
      </c>
      <c r="M88" s="32">
        <v>0</v>
      </c>
      <c r="N88" s="31">
        <v>0</v>
      </c>
      <c r="O88" s="31">
        <v>2</v>
      </c>
      <c r="P88" s="31">
        <v>0</v>
      </c>
      <c r="Q88" s="31">
        <v>0</v>
      </c>
      <c r="R88" s="31">
        <v>0</v>
      </c>
      <c r="S88" s="32">
        <v>0</v>
      </c>
      <c r="T88" s="31">
        <v>2</v>
      </c>
      <c r="U88" s="31">
        <v>0</v>
      </c>
      <c r="V88" s="31">
        <v>0</v>
      </c>
      <c r="W88" s="32">
        <v>0</v>
      </c>
      <c r="X88" s="31">
        <v>0</v>
      </c>
      <c r="Y88" s="32">
        <v>0</v>
      </c>
      <c r="Z88" s="33">
        <v>0</v>
      </c>
      <c r="AA88" s="3"/>
      <c r="AB88" s="35">
        <v>26</v>
      </c>
      <c r="AC88" s="35">
        <v>4</v>
      </c>
      <c r="AD88" s="35">
        <v>2</v>
      </c>
      <c r="AE88" s="35">
        <v>2</v>
      </c>
      <c r="AF88" s="35">
        <v>1</v>
      </c>
      <c r="AG88" s="35">
        <v>4</v>
      </c>
    </row>
    <row r="89" spans="1:35" ht="15.75" thickBot="1" x14ac:dyDescent="0.3">
      <c r="A89" s="28" t="s">
        <v>165</v>
      </c>
      <c r="B89" s="91" t="s">
        <v>171</v>
      </c>
      <c r="C89" s="30" t="s">
        <v>176</v>
      </c>
      <c r="D89" s="30" t="s">
        <v>168</v>
      </c>
      <c r="E89" s="31">
        <v>0</v>
      </c>
      <c r="F89" s="31">
        <v>0</v>
      </c>
      <c r="G89" s="31">
        <v>0</v>
      </c>
      <c r="H89" s="31">
        <v>0</v>
      </c>
      <c r="I89" s="32">
        <v>0</v>
      </c>
      <c r="J89" s="32">
        <v>0</v>
      </c>
      <c r="K89" s="24">
        <v>0</v>
      </c>
      <c r="L89" s="31">
        <v>0</v>
      </c>
      <c r="M89" s="32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2">
        <v>0</v>
      </c>
      <c r="T89" s="31">
        <v>0</v>
      </c>
      <c r="U89" s="31">
        <v>0</v>
      </c>
      <c r="V89" s="31">
        <v>0</v>
      </c>
      <c r="W89" s="32">
        <v>0</v>
      </c>
      <c r="X89" s="31">
        <v>0</v>
      </c>
      <c r="Y89" s="32">
        <v>0</v>
      </c>
      <c r="Z89" s="33">
        <v>0</v>
      </c>
      <c r="AA89" s="3"/>
      <c r="AB89" s="35"/>
      <c r="AC89" s="35"/>
      <c r="AD89" s="35"/>
      <c r="AE89" s="35"/>
      <c r="AF89" s="35"/>
      <c r="AG89" s="35"/>
    </row>
    <row r="90" spans="1:35" ht="27.75" thickBot="1" x14ac:dyDescent="0.3">
      <c r="A90" s="28" t="s">
        <v>165</v>
      </c>
      <c r="B90" s="89" t="s">
        <v>169</v>
      </c>
      <c r="C90" s="30" t="s">
        <v>177</v>
      </c>
      <c r="D90" s="30" t="s">
        <v>168</v>
      </c>
      <c r="E90" s="31">
        <v>0</v>
      </c>
      <c r="F90" s="31">
        <v>2</v>
      </c>
      <c r="G90" s="31">
        <v>0</v>
      </c>
      <c r="H90" s="31">
        <v>0</v>
      </c>
      <c r="I90" s="32">
        <v>0</v>
      </c>
      <c r="J90" s="32">
        <v>0</v>
      </c>
      <c r="K90" s="24">
        <v>0</v>
      </c>
      <c r="L90" s="31">
        <v>0</v>
      </c>
      <c r="M90" s="32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2">
        <v>0</v>
      </c>
      <c r="T90" s="31">
        <v>0</v>
      </c>
      <c r="U90" s="31">
        <v>0</v>
      </c>
      <c r="V90" s="31">
        <v>0</v>
      </c>
      <c r="W90" s="32">
        <v>0</v>
      </c>
      <c r="X90" s="31">
        <v>0</v>
      </c>
      <c r="Y90" s="32">
        <v>0</v>
      </c>
      <c r="Z90" s="33">
        <v>0</v>
      </c>
      <c r="AA90" s="3"/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</row>
    <row r="91" spans="1:35" ht="27.75" thickBot="1" x14ac:dyDescent="0.3">
      <c r="A91" s="28" t="s">
        <v>165</v>
      </c>
      <c r="B91" s="91" t="s">
        <v>169</v>
      </c>
      <c r="C91" s="30" t="s">
        <v>178</v>
      </c>
      <c r="D91" s="30" t="s">
        <v>168</v>
      </c>
      <c r="E91" s="31">
        <v>0</v>
      </c>
      <c r="F91" s="31">
        <v>1</v>
      </c>
      <c r="G91" s="31">
        <v>0</v>
      </c>
      <c r="H91" s="31">
        <v>0</v>
      </c>
      <c r="I91" s="32">
        <v>0</v>
      </c>
      <c r="J91" s="32">
        <v>0</v>
      </c>
      <c r="K91" s="24">
        <v>0</v>
      </c>
      <c r="L91" s="31">
        <v>0</v>
      </c>
      <c r="M91" s="32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2">
        <v>0</v>
      </c>
      <c r="T91" s="31">
        <v>0</v>
      </c>
      <c r="U91" s="31">
        <v>0</v>
      </c>
      <c r="V91" s="31">
        <v>0</v>
      </c>
      <c r="W91" s="32">
        <v>0</v>
      </c>
      <c r="X91" s="31">
        <v>0</v>
      </c>
      <c r="Y91" s="32">
        <v>0</v>
      </c>
      <c r="Z91" s="33">
        <v>0</v>
      </c>
      <c r="AA91" s="3"/>
      <c r="AB91" s="35">
        <v>19</v>
      </c>
      <c r="AC91" s="35">
        <v>4</v>
      </c>
      <c r="AD91" s="35">
        <v>1</v>
      </c>
      <c r="AE91" s="35">
        <v>1</v>
      </c>
      <c r="AF91" s="35">
        <v>0</v>
      </c>
      <c r="AG91" s="35">
        <v>2</v>
      </c>
    </row>
    <row r="92" spans="1:35" ht="27.75" thickBot="1" x14ac:dyDescent="0.3">
      <c r="A92" s="28" t="s">
        <v>165</v>
      </c>
      <c r="B92" s="89" t="s">
        <v>179</v>
      </c>
      <c r="C92" s="30" t="s">
        <v>180</v>
      </c>
      <c r="D92" s="30" t="s">
        <v>181</v>
      </c>
      <c r="E92" s="31">
        <v>0</v>
      </c>
      <c r="F92" s="31">
        <v>1</v>
      </c>
      <c r="G92" s="31">
        <v>0</v>
      </c>
      <c r="H92" s="31">
        <v>0</v>
      </c>
      <c r="I92" s="32">
        <v>0</v>
      </c>
      <c r="J92" s="32">
        <v>0</v>
      </c>
      <c r="K92" s="24">
        <v>0</v>
      </c>
      <c r="L92" s="31">
        <v>0</v>
      </c>
      <c r="M92" s="32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2">
        <v>0</v>
      </c>
      <c r="T92" s="31">
        <v>0</v>
      </c>
      <c r="U92" s="31">
        <v>0</v>
      </c>
      <c r="V92" s="31">
        <v>0</v>
      </c>
      <c r="W92" s="32">
        <v>0</v>
      </c>
      <c r="X92" s="31">
        <v>0</v>
      </c>
      <c r="Y92" s="32">
        <v>0</v>
      </c>
      <c r="Z92" s="33">
        <v>0</v>
      </c>
      <c r="AA92" s="3"/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</row>
    <row r="93" spans="1:35" ht="15.75" thickBot="1" x14ac:dyDescent="0.3">
      <c r="A93" s="28" t="s">
        <v>165</v>
      </c>
      <c r="B93" s="89" t="s">
        <v>179</v>
      </c>
      <c r="C93" s="30" t="s">
        <v>182</v>
      </c>
      <c r="D93" s="30" t="s">
        <v>181</v>
      </c>
      <c r="E93" s="31">
        <v>0</v>
      </c>
      <c r="F93" s="31">
        <v>9</v>
      </c>
      <c r="G93" s="31">
        <v>1</v>
      </c>
      <c r="H93" s="31">
        <v>0</v>
      </c>
      <c r="I93" s="32">
        <v>0</v>
      </c>
      <c r="J93" s="32">
        <v>0</v>
      </c>
      <c r="K93" s="24">
        <v>0</v>
      </c>
      <c r="L93" s="31">
        <v>0</v>
      </c>
      <c r="M93" s="32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2">
        <v>0</v>
      </c>
      <c r="T93" s="31">
        <v>0</v>
      </c>
      <c r="U93" s="31">
        <v>0</v>
      </c>
      <c r="V93" s="31">
        <v>0</v>
      </c>
      <c r="W93" s="32">
        <v>0</v>
      </c>
      <c r="X93" s="31">
        <v>0</v>
      </c>
      <c r="Y93" s="32">
        <v>0</v>
      </c>
      <c r="Z93" s="33">
        <v>0</v>
      </c>
      <c r="AA93" s="3"/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</row>
    <row r="94" spans="1:35" ht="27.75" thickBot="1" x14ac:dyDescent="0.3">
      <c r="A94" s="28" t="s">
        <v>165</v>
      </c>
      <c r="B94" s="89" t="s">
        <v>183</v>
      </c>
      <c r="C94" s="30" t="s">
        <v>184</v>
      </c>
      <c r="D94" s="30" t="s">
        <v>185</v>
      </c>
      <c r="E94" s="31">
        <v>0</v>
      </c>
      <c r="F94" s="31">
        <v>1</v>
      </c>
      <c r="G94" s="31">
        <v>0</v>
      </c>
      <c r="H94" s="31">
        <v>0</v>
      </c>
      <c r="I94" s="32">
        <v>0</v>
      </c>
      <c r="J94" s="32">
        <v>0</v>
      </c>
      <c r="K94" s="24">
        <v>0</v>
      </c>
      <c r="L94" s="31">
        <v>0</v>
      </c>
      <c r="M94" s="32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2">
        <v>0</v>
      </c>
      <c r="T94" s="31">
        <v>0</v>
      </c>
      <c r="U94" s="31">
        <v>0</v>
      </c>
      <c r="V94" s="31">
        <v>0</v>
      </c>
      <c r="W94" s="32">
        <v>0</v>
      </c>
      <c r="X94" s="31">
        <v>0</v>
      </c>
      <c r="Y94" s="32">
        <v>0</v>
      </c>
      <c r="Z94" s="33">
        <v>0</v>
      </c>
      <c r="AA94" s="38">
        <f>AA99*9</f>
        <v>6104117721.8229742</v>
      </c>
      <c r="AB94" s="35">
        <v>6</v>
      </c>
      <c r="AC94" s="35">
        <v>0</v>
      </c>
      <c r="AD94" s="35">
        <v>1</v>
      </c>
      <c r="AE94" s="35">
        <v>1</v>
      </c>
      <c r="AF94" s="35">
        <v>0</v>
      </c>
      <c r="AG94" s="35">
        <v>1</v>
      </c>
    </row>
    <row r="95" spans="1:35" ht="27.75" thickBot="1" x14ac:dyDescent="0.3">
      <c r="A95" s="28" t="s">
        <v>165</v>
      </c>
      <c r="B95" s="89" t="s">
        <v>183</v>
      </c>
      <c r="C95" s="30" t="s">
        <v>186</v>
      </c>
      <c r="D95" s="30" t="s">
        <v>187</v>
      </c>
      <c r="E95" s="65">
        <v>0</v>
      </c>
      <c r="F95" s="65">
        <v>1</v>
      </c>
      <c r="G95" s="65">
        <v>0</v>
      </c>
      <c r="H95" s="65">
        <v>0</v>
      </c>
      <c r="I95" s="66">
        <v>0</v>
      </c>
      <c r="J95" s="66">
        <v>0</v>
      </c>
      <c r="K95" s="24">
        <v>0</v>
      </c>
      <c r="L95" s="65">
        <v>0</v>
      </c>
      <c r="M95" s="66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6">
        <v>0</v>
      </c>
      <c r="T95" s="65">
        <v>0</v>
      </c>
      <c r="U95" s="65">
        <v>0</v>
      </c>
      <c r="V95" s="65">
        <v>0</v>
      </c>
      <c r="W95" s="66">
        <v>0</v>
      </c>
      <c r="X95" s="65">
        <v>0</v>
      </c>
      <c r="Y95" s="66">
        <v>0</v>
      </c>
      <c r="Z95" s="67">
        <v>0</v>
      </c>
      <c r="AA95" s="3"/>
      <c r="AB95" s="92"/>
      <c r="AC95" s="92"/>
      <c r="AD95" s="92"/>
      <c r="AE95" s="92"/>
      <c r="AF95" s="92"/>
      <c r="AG95" s="92"/>
    </row>
    <row r="96" spans="1:35" ht="15.75" thickBot="1" x14ac:dyDescent="0.3">
      <c r="A96" s="202" t="s">
        <v>94</v>
      </c>
      <c r="B96" s="203"/>
      <c r="C96" s="203"/>
      <c r="D96" s="204"/>
      <c r="E96" s="39">
        <f>SUM(E84:E95)</f>
        <v>0</v>
      </c>
      <c r="F96" s="40">
        <f t="shared" ref="F96:AG96" si="26">SUM(F84:F95)</f>
        <v>32</v>
      </c>
      <c r="G96" s="40">
        <f t="shared" si="26"/>
        <v>2</v>
      </c>
      <c r="H96" s="40">
        <f t="shared" si="26"/>
        <v>0</v>
      </c>
      <c r="I96" s="41">
        <f t="shared" si="26"/>
        <v>0</v>
      </c>
      <c r="J96" s="41">
        <f t="shared" si="26"/>
        <v>0</v>
      </c>
      <c r="K96" s="41"/>
      <c r="L96" s="40">
        <f t="shared" si="26"/>
        <v>0</v>
      </c>
      <c r="M96" s="41">
        <f t="shared" si="26"/>
        <v>0</v>
      </c>
      <c r="N96" s="40">
        <f t="shared" si="26"/>
        <v>0</v>
      </c>
      <c r="O96" s="40">
        <f t="shared" si="26"/>
        <v>2</v>
      </c>
      <c r="P96" s="40">
        <f t="shared" si="26"/>
        <v>0</v>
      </c>
      <c r="Q96" s="40">
        <f t="shared" si="26"/>
        <v>0</v>
      </c>
      <c r="R96" s="40">
        <f t="shared" si="26"/>
        <v>0</v>
      </c>
      <c r="S96" s="41">
        <f t="shared" si="26"/>
        <v>0</v>
      </c>
      <c r="T96" s="40">
        <f t="shared" si="26"/>
        <v>2</v>
      </c>
      <c r="U96" s="40">
        <f t="shared" si="26"/>
        <v>0</v>
      </c>
      <c r="V96" s="40">
        <f t="shared" si="26"/>
        <v>0</v>
      </c>
      <c r="W96" s="41">
        <f t="shared" si="26"/>
        <v>0</v>
      </c>
      <c r="X96" s="40">
        <f t="shared" si="26"/>
        <v>0</v>
      </c>
      <c r="Y96" s="41">
        <f t="shared" si="26"/>
        <v>0</v>
      </c>
      <c r="Z96" s="42">
        <f t="shared" si="26"/>
        <v>0</v>
      </c>
      <c r="AA96" s="43">
        <f>SUM(E96:Z96)</f>
        <v>38</v>
      </c>
      <c r="AB96" s="44">
        <f t="shared" si="26"/>
        <v>104</v>
      </c>
      <c r="AC96" s="44">
        <f t="shared" si="26"/>
        <v>16</v>
      </c>
      <c r="AD96" s="44">
        <f t="shared" si="26"/>
        <v>7</v>
      </c>
      <c r="AE96" s="44">
        <f t="shared" si="26"/>
        <v>7</v>
      </c>
      <c r="AF96" s="44">
        <f t="shared" si="26"/>
        <v>3</v>
      </c>
      <c r="AG96" s="44">
        <f t="shared" si="26"/>
        <v>17</v>
      </c>
    </row>
    <row r="97" spans="1:35" s="75" customFormat="1" ht="15.75" thickBot="1" x14ac:dyDescent="0.3">
      <c r="A97" s="68"/>
      <c r="B97" s="69"/>
      <c r="C97" s="69"/>
      <c r="D97" s="69"/>
      <c r="E97" s="70"/>
      <c r="F97" s="70"/>
      <c r="G97" s="70"/>
      <c r="H97" s="70"/>
      <c r="I97" s="71"/>
      <c r="J97" s="71"/>
      <c r="K97" s="71"/>
      <c r="L97" s="70"/>
      <c r="M97" s="71"/>
      <c r="N97" s="70"/>
      <c r="O97" s="70"/>
      <c r="P97" s="70"/>
      <c r="Q97" s="70"/>
      <c r="R97" s="70"/>
      <c r="S97" s="71"/>
      <c r="T97" s="70"/>
      <c r="U97" s="70"/>
      <c r="V97" s="70"/>
      <c r="W97" s="71"/>
      <c r="X97" s="70"/>
      <c r="Y97" s="71"/>
      <c r="Z97" s="72"/>
      <c r="AA97" s="73">
        <f>SUM(E97:Z97)</f>
        <v>0</v>
      </c>
      <c r="AB97" s="74"/>
      <c r="AC97" s="74"/>
      <c r="AD97" s="74"/>
      <c r="AE97" s="74"/>
      <c r="AF97" s="74"/>
      <c r="AG97" s="74"/>
      <c r="AI97" s="76"/>
    </row>
    <row r="98" spans="1:35" ht="15.75" thickBot="1" x14ac:dyDescent="0.3">
      <c r="A98" s="45"/>
      <c r="B98" s="199" t="s">
        <v>95</v>
      </c>
      <c r="C98" s="199"/>
      <c r="D98" s="46"/>
      <c r="E98" s="47"/>
      <c r="F98" s="47"/>
      <c r="G98" s="47"/>
      <c r="H98" s="47"/>
      <c r="I98" s="48"/>
      <c r="J98" s="48"/>
      <c r="K98" s="48"/>
      <c r="L98" s="47"/>
      <c r="M98" s="48"/>
      <c r="N98" s="47"/>
      <c r="O98" s="47"/>
      <c r="P98" s="47"/>
      <c r="Q98" s="47"/>
      <c r="R98" s="47"/>
      <c r="S98" s="48"/>
      <c r="T98" s="47"/>
      <c r="U98" s="47"/>
      <c r="V98" s="47"/>
      <c r="W98" s="48"/>
      <c r="X98" s="47"/>
      <c r="Y98" s="48"/>
      <c r="Z98" s="49"/>
      <c r="AA98" s="53">
        <f>SUM(E98:Z98)</f>
        <v>0</v>
      </c>
      <c r="AB98" s="74"/>
      <c r="AC98" s="74"/>
      <c r="AD98" s="74"/>
      <c r="AE98" s="74"/>
      <c r="AF98" s="74"/>
      <c r="AG98" s="74"/>
    </row>
    <row r="99" spans="1:35" ht="15.75" thickBot="1" x14ac:dyDescent="0.3">
      <c r="A99" s="205" t="s">
        <v>96</v>
      </c>
      <c r="B99" s="206"/>
      <c r="C99" s="206"/>
      <c r="D99" s="206"/>
      <c r="E99" s="54">
        <f t="shared" ref="E99:J99" si="27">E96*E5</f>
        <v>0</v>
      </c>
      <c r="F99" s="54">
        <f t="shared" si="27"/>
        <v>602528250.072384</v>
      </c>
      <c r="G99" s="54">
        <f t="shared" si="27"/>
        <v>37658015.629524</v>
      </c>
      <c r="H99" s="54">
        <f t="shared" si="27"/>
        <v>0</v>
      </c>
      <c r="I99" s="55">
        <f t="shared" si="27"/>
        <v>0</v>
      </c>
      <c r="J99" s="55">
        <f t="shared" si="27"/>
        <v>0</v>
      </c>
      <c r="K99" s="55"/>
      <c r="L99" s="54">
        <f>L96*L5</f>
        <v>0</v>
      </c>
      <c r="M99" s="55">
        <f>M96*M5</f>
        <v>0</v>
      </c>
      <c r="N99" s="54">
        <f t="shared" ref="N99:Z99" si="28">N96*N5</f>
        <v>0</v>
      </c>
      <c r="O99" s="54">
        <f t="shared" si="28"/>
        <v>16542876.589006586</v>
      </c>
      <c r="P99" s="54">
        <f t="shared" si="28"/>
        <v>0</v>
      </c>
      <c r="Q99" s="54">
        <f t="shared" si="28"/>
        <v>0</v>
      </c>
      <c r="R99" s="54">
        <f t="shared" si="28"/>
        <v>0</v>
      </c>
      <c r="S99" s="55">
        <f t="shared" si="28"/>
        <v>0</v>
      </c>
      <c r="T99" s="54">
        <f t="shared" si="28"/>
        <v>21506160.133860324</v>
      </c>
      <c r="U99" s="54">
        <f t="shared" si="28"/>
        <v>0</v>
      </c>
      <c r="V99" s="54">
        <f t="shared" si="28"/>
        <v>0</v>
      </c>
      <c r="W99" s="55">
        <f t="shared" si="28"/>
        <v>0</v>
      </c>
      <c r="X99" s="54">
        <f t="shared" si="28"/>
        <v>0</v>
      </c>
      <c r="Y99" s="55">
        <f t="shared" si="28"/>
        <v>0</v>
      </c>
      <c r="Z99" s="56">
        <f t="shared" si="28"/>
        <v>0</v>
      </c>
      <c r="AA99" s="57">
        <f>SUM(E99:Z99)</f>
        <v>678235302.42477489</v>
      </c>
      <c r="AB99" s="77">
        <f t="shared" ref="AB99:AG99" si="29">AB96*AB5</f>
        <v>3141482.5866666669</v>
      </c>
      <c r="AC99" s="77">
        <f t="shared" si="29"/>
        <v>1878594.2933333335</v>
      </c>
      <c r="AD99" s="77">
        <f t="shared" si="29"/>
        <v>1052862.02</v>
      </c>
      <c r="AE99" s="77">
        <f t="shared" si="29"/>
        <v>764499.6333333333</v>
      </c>
      <c r="AF99" s="77">
        <f t="shared" si="29"/>
        <v>1033184.1799999999</v>
      </c>
      <c r="AG99" s="77">
        <f t="shared" si="29"/>
        <v>1970159.24</v>
      </c>
    </row>
    <row r="100" spans="1:35" ht="15.75" thickBot="1" x14ac:dyDescent="0.3">
      <c r="A100" s="20" t="s">
        <v>188</v>
      </c>
      <c r="B100" s="93" t="s">
        <v>98</v>
      </c>
      <c r="C100" s="22" t="s">
        <v>189</v>
      </c>
      <c r="D100" s="22" t="s">
        <v>190</v>
      </c>
      <c r="E100" s="94">
        <v>0</v>
      </c>
      <c r="F100" s="94">
        <v>1</v>
      </c>
      <c r="G100" s="94">
        <v>0</v>
      </c>
      <c r="H100" s="94">
        <v>0</v>
      </c>
      <c r="I100" s="95"/>
      <c r="J100" s="95">
        <v>0</v>
      </c>
      <c r="K100" s="24">
        <v>0</v>
      </c>
      <c r="L100" s="94">
        <v>0</v>
      </c>
      <c r="M100" s="95">
        <v>0</v>
      </c>
      <c r="N100" s="94">
        <v>0</v>
      </c>
      <c r="O100" s="94">
        <v>0</v>
      </c>
      <c r="P100" s="94">
        <v>0</v>
      </c>
      <c r="Q100" s="94">
        <v>0</v>
      </c>
      <c r="R100" s="94">
        <v>0</v>
      </c>
      <c r="S100" s="95">
        <v>0</v>
      </c>
      <c r="T100" s="94">
        <v>0</v>
      </c>
      <c r="U100" s="94">
        <v>0</v>
      </c>
      <c r="V100" s="94">
        <v>0</v>
      </c>
      <c r="W100" s="95">
        <v>0</v>
      </c>
      <c r="X100" s="94">
        <v>0</v>
      </c>
      <c r="Y100" s="95">
        <v>0</v>
      </c>
      <c r="Z100" s="96">
        <v>0</v>
      </c>
      <c r="AA100" s="3"/>
      <c r="AB100" s="26">
        <v>8</v>
      </c>
      <c r="AC100" s="26">
        <v>0</v>
      </c>
      <c r="AD100" s="26">
        <v>1</v>
      </c>
      <c r="AE100" s="26">
        <v>1</v>
      </c>
      <c r="AF100" s="26">
        <v>1</v>
      </c>
      <c r="AG100" s="26">
        <v>2</v>
      </c>
    </row>
    <row r="101" spans="1:35" ht="15.75" thickBot="1" x14ac:dyDescent="0.3">
      <c r="A101" s="28" t="s">
        <v>188</v>
      </c>
      <c r="B101" s="97" t="s">
        <v>38</v>
      </c>
      <c r="C101" s="30" t="s">
        <v>191</v>
      </c>
      <c r="D101" s="30" t="s">
        <v>190</v>
      </c>
      <c r="E101" s="98">
        <v>0</v>
      </c>
      <c r="F101" s="98">
        <v>1</v>
      </c>
      <c r="G101" s="98">
        <v>0</v>
      </c>
      <c r="H101" s="98">
        <v>0</v>
      </c>
      <c r="I101" s="99">
        <v>0</v>
      </c>
      <c r="J101" s="99">
        <v>0</v>
      </c>
      <c r="K101" s="24">
        <v>0</v>
      </c>
      <c r="L101" s="98">
        <v>0</v>
      </c>
      <c r="M101" s="99">
        <v>0</v>
      </c>
      <c r="N101" s="98">
        <v>0</v>
      </c>
      <c r="O101" s="98">
        <v>0</v>
      </c>
      <c r="P101" s="98">
        <v>1</v>
      </c>
      <c r="Q101" s="98">
        <v>0</v>
      </c>
      <c r="R101" s="98">
        <v>0</v>
      </c>
      <c r="S101" s="99">
        <v>0</v>
      </c>
      <c r="T101" s="98">
        <v>0</v>
      </c>
      <c r="U101" s="98">
        <v>0</v>
      </c>
      <c r="V101" s="98">
        <v>0</v>
      </c>
      <c r="W101" s="99">
        <v>0</v>
      </c>
      <c r="X101" s="98">
        <v>0</v>
      </c>
      <c r="Y101" s="99">
        <v>0</v>
      </c>
      <c r="Z101" s="100">
        <v>0</v>
      </c>
      <c r="AA101" s="3"/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</row>
    <row r="102" spans="1:35" ht="27.75" thickBot="1" x14ac:dyDescent="0.3">
      <c r="A102" s="28" t="s">
        <v>188</v>
      </c>
      <c r="B102" s="30" t="s">
        <v>38</v>
      </c>
      <c r="C102" s="30" t="s">
        <v>192</v>
      </c>
      <c r="D102" s="30" t="s">
        <v>190</v>
      </c>
      <c r="E102" s="98">
        <v>0</v>
      </c>
      <c r="F102" s="98">
        <v>0</v>
      </c>
      <c r="G102" s="98">
        <v>0</v>
      </c>
      <c r="H102" s="98">
        <v>0</v>
      </c>
      <c r="I102" s="99">
        <v>0</v>
      </c>
      <c r="J102" s="99">
        <v>0</v>
      </c>
      <c r="K102" s="24">
        <v>0</v>
      </c>
      <c r="L102" s="98">
        <v>0</v>
      </c>
      <c r="M102" s="99">
        <v>0</v>
      </c>
      <c r="N102" s="98">
        <v>0</v>
      </c>
      <c r="O102" s="98">
        <v>0</v>
      </c>
      <c r="P102" s="98">
        <v>0</v>
      </c>
      <c r="Q102" s="98">
        <v>0</v>
      </c>
      <c r="R102" s="98">
        <v>0</v>
      </c>
      <c r="S102" s="99">
        <v>0</v>
      </c>
      <c r="T102" s="98">
        <v>0</v>
      </c>
      <c r="U102" s="98">
        <v>0</v>
      </c>
      <c r="V102" s="98">
        <v>0</v>
      </c>
      <c r="W102" s="99">
        <v>0</v>
      </c>
      <c r="X102" s="98">
        <v>0</v>
      </c>
      <c r="Y102" s="99">
        <v>0</v>
      </c>
      <c r="Z102" s="100">
        <v>0</v>
      </c>
      <c r="AA102" s="3"/>
      <c r="AB102" s="26"/>
      <c r="AC102" s="26"/>
      <c r="AD102" s="26"/>
      <c r="AE102" s="26"/>
      <c r="AF102" s="26"/>
      <c r="AG102" s="26"/>
    </row>
    <row r="103" spans="1:35" ht="27.75" thickBot="1" x14ac:dyDescent="0.3">
      <c r="A103" s="28" t="s">
        <v>188</v>
      </c>
      <c r="B103" s="101" t="s">
        <v>193</v>
      </c>
      <c r="C103" s="30" t="s">
        <v>194</v>
      </c>
      <c r="D103" s="30" t="s">
        <v>190</v>
      </c>
      <c r="E103" s="98">
        <v>0</v>
      </c>
      <c r="F103" s="98">
        <v>3</v>
      </c>
      <c r="G103" s="98">
        <v>1</v>
      </c>
      <c r="H103" s="98">
        <v>0</v>
      </c>
      <c r="I103" s="99">
        <v>0</v>
      </c>
      <c r="J103" s="99">
        <v>0</v>
      </c>
      <c r="K103" s="24">
        <v>0</v>
      </c>
      <c r="L103" s="98">
        <v>0</v>
      </c>
      <c r="M103" s="99">
        <v>0</v>
      </c>
      <c r="N103" s="98">
        <v>2</v>
      </c>
      <c r="O103" s="98">
        <v>0</v>
      </c>
      <c r="P103" s="98">
        <v>0</v>
      </c>
      <c r="Q103" s="98">
        <v>0</v>
      </c>
      <c r="R103" s="98">
        <v>0</v>
      </c>
      <c r="S103" s="99">
        <v>0</v>
      </c>
      <c r="T103" s="98">
        <v>0</v>
      </c>
      <c r="U103" s="98">
        <v>0</v>
      </c>
      <c r="V103" s="98">
        <v>0</v>
      </c>
      <c r="W103" s="99">
        <v>0</v>
      </c>
      <c r="X103" s="98">
        <v>0</v>
      </c>
      <c r="Y103" s="99">
        <v>0</v>
      </c>
      <c r="Z103" s="100">
        <v>0</v>
      </c>
      <c r="AA103" s="3"/>
      <c r="AB103" s="26">
        <v>29</v>
      </c>
      <c r="AC103" s="26">
        <v>3</v>
      </c>
      <c r="AD103" s="26">
        <v>1</v>
      </c>
      <c r="AE103" s="26">
        <v>1</v>
      </c>
      <c r="AF103" s="26">
        <v>1</v>
      </c>
      <c r="AG103" s="26">
        <v>2</v>
      </c>
    </row>
    <row r="104" spans="1:35" ht="27.75" thickBot="1" x14ac:dyDescent="0.3">
      <c r="A104" s="28" t="s">
        <v>188</v>
      </c>
      <c r="B104" s="101" t="s">
        <v>193</v>
      </c>
      <c r="C104" s="30" t="s">
        <v>195</v>
      </c>
      <c r="D104" s="30" t="s">
        <v>196</v>
      </c>
      <c r="E104" s="98">
        <v>0</v>
      </c>
      <c r="F104" s="102">
        <v>1</v>
      </c>
      <c r="G104" s="102">
        <v>0</v>
      </c>
      <c r="H104" s="102">
        <v>0</v>
      </c>
      <c r="I104" s="99">
        <v>0</v>
      </c>
      <c r="J104" s="99">
        <v>0</v>
      </c>
      <c r="K104" s="24">
        <v>0</v>
      </c>
      <c r="L104" s="102">
        <v>0</v>
      </c>
      <c r="M104" s="99">
        <v>0</v>
      </c>
      <c r="N104" s="98">
        <v>0</v>
      </c>
      <c r="O104" s="98">
        <v>0</v>
      </c>
      <c r="P104" s="98">
        <v>1</v>
      </c>
      <c r="Q104" s="98">
        <v>0</v>
      </c>
      <c r="R104" s="98">
        <v>0</v>
      </c>
      <c r="S104" s="99">
        <v>0</v>
      </c>
      <c r="T104" s="98">
        <v>0</v>
      </c>
      <c r="U104" s="102">
        <v>0</v>
      </c>
      <c r="V104" s="102">
        <v>0</v>
      </c>
      <c r="W104" s="99">
        <v>0</v>
      </c>
      <c r="X104" s="98">
        <v>0</v>
      </c>
      <c r="Y104" s="99">
        <v>0</v>
      </c>
      <c r="Z104" s="100">
        <v>0</v>
      </c>
      <c r="AA104" s="3"/>
      <c r="AB104" s="35">
        <v>7</v>
      </c>
      <c r="AC104" s="35">
        <v>1</v>
      </c>
      <c r="AD104" s="35">
        <v>1</v>
      </c>
      <c r="AE104" s="35">
        <v>1</v>
      </c>
      <c r="AF104" s="35">
        <v>0</v>
      </c>
      <c r="AG104" s="35">
        <v>0</v>
      </c>
    </row>
    <row r="105" spans="1:35" ht="27.75" thickBot="1" x14ac:dyDescent="0.3">
      <c r="A105" s="28" t="s">
        <v>188</v>
      </c>
      <c r="B105" s="101" t="s">
        <v>197</v>
      </c>
      <c r="C105" s="30" t="s">
        <v>198</v>
      </c>
      <c r="D105" s="30" t="s">
        <v>190</v>
      </c>
      <c r="E105" s="98">
        <v>1</v>
      </c>
      <c r="F105" s="98">
        <v>1</v>
      </c>
      <c r="G105" s="98">
        <v>0</v>
      </c>
      <c r="H105" s="98">
        <v>0</v>
      </c>
      <c r="I105" s="99">
        <v>0</v>
      </c>
      <c r="J105" s="99">
        <v>0</v>
      </c>
      <c r="K105" s="24">
        <v>0</v>
      </c>
      <c r="L105" s="98">
        <v>0</v>
      </c>
      <c r="M105" s="99">
        <v>0</v>
      </c>
      <c r="N105" s="98">
        <v>0</v>
      </c>
      <c r="O105" s="98">
        <v>0</v>
      </c>
      <c r="P105" s="98">
        <v>0</v>
      </c>
      <c r="Q105" s="98">
        <v>0</v>
      </c>
      <c r="R105" s="98">
        <v>0</v>
      </c>
      <c r="S105" s="99">
        <v>0</v>
      </c>
      <c r="T105" s="98">
        <v>0</v>
      </c>
      <c r="U105" s="98">
        <v>0</v>
      </c>
      <c r="V105" s="98">
        <v>0</v>
      </c>
      <c r="W105" s="99">
        <v>0</v>
      </c>
      <c r="X105" s="98">
        <v>0</v>
      </c>
      <c r="Y105" s="99">
        <v>0</v>
      </c>
      <c r="Z105" s="100">
        <v>0</v>
      </c>
      <c r="AA105" s="3"/>
      <c r="AB105" s="26">
        <v>10</v>
      </c>
      <c r="AC105" s="26">
        <v>1</v>
      </c>
      <c r="AD105" s="26">
        <v>1</v>
      </c>
      <c r="AE105" s="26">
        <v>1</v>
      </c>
      <c r="AF105" s="26">
        <v>1</v>
      </c>
      <c r="AG105" s="26">
        <v>2</v>
      </c>
    </row>
    <row r="106" spans="1:35" ht="30.6" customHeight="1" thickBot="1" x14ac:dyDescent="0.3">
      <c r="A106" s="28" t="s">
        <v>188</v>
      </c>
      <c r="B106" s="101" t="s">
        <v>197</v>
      </c>
      <c r="C106" s="30" t="s">
        <v>199</v>
      </c>
      <c r="D106" s="30" t="s">
        <v>190</v>
      </c>
      <c r="E106" s="103">
        <v>0</v>
      </c>
      <c r="F106" s="103">
        <v>1</v>
      </c>
      <c r="G106" s="103">
        <v>0</v>
      </c>
      <c r="H106" s="103">
        <v>0</v>
      </c>
      <c r="I106" s="104">
        <v>0</v>
      </c>
      <c r="J106" s="104">
        <v>0</v>
      </c>
      <c r="K106" s="105">
        <v>0</v>
      </c>
      <c r="L106" s="103">
        <v>0</v>
      </c>
      <c r="M106" s="104">
        <v>0</v>
      </c>
      <c r="N106" s="103">
        <v>0</v>
      </c>
      <c r="O106" s="103">
        <v>0</v>
      </c>
      <c r="P106" s="103">
        <v>0</v>
      </c>
      <c r="Q106" s="103">
        <v>0</v>
      </c>
      <c r="R106" s="103">
        <v>0</v>
      </c>
      <c r="S106" s="104">
        <v>0</v>
      </c>
      <c r="T106" s="103">
        <v>0</v>
      </c>
      <c r="U106" s="103">
        <v>0</v>
      </c>
      <c r="V106" s="103">
        <v>0</v>
      </c>
      <c r="W106" s="104">
        <v>0</v>
      </c>
      <c r="X106" s="103">
        <v>0</v>
      </c>
      <c r="Y106" s="104">
        <v>0</v>
      </c>
      <c r="Z106" s="106">
        <v>0</v>
      </c>
      <c r="AA106" s="3"/>
      <c r="AB106" s="107">
        <v>4</v>
      </c>
      <c r="AC106" s="107">
        <v>0</v>
      </c>
      <c r="AD106" s="107">
        <v>1</v>
      </c>
      <c r="AE106" s="107">
        <v>1</v>
      </c>
      <c r="AF106" s="107">
        <v>0</v>
      </c>
      <c r="AG106" s="107">
        <v>1</v>
      </c>
    </row>
    <row r="107" spans="1:35" ht="17.45" customHeight="1" thickBot="1" x14ac:dyDescent="0.3">
      <c r="A107" s="28" t="s">
        <v>188</v>
      </c>
      <c r="B107" s="30" t="s">
        <v>197</v>
      </c>
      <c r="C107" s="30" t="s">
        <v>200</v>
      </c>
      <c r="D107" s="30" t="s">
        <v>201</v>
      </c>
      <c r="E107" s="108">
        <v>0</v>
      </c>
      <c r="F107" s="109">
        <v>0</v>
      </c>
      <c r="G107" s="109">
        <v>0</v>
      </c>
      <c r="H107" s="109">
        <v>0</v>
      </c>
      <c r="I107" s="110">
        <v>0</v>
      </c>
      <c r="J107" s="110">
        <v>0</v>
      </c>
      <c r="K107" s="111">
        <v>0</v>
      </c>
      <c r="L107" s="109">
        <v>0</v>
      </c>
      <c r="M107" s="110">
        <v>0</v>
      </c>
      <c r="N107" s="108">
        <v>0</v>
      </c>
      <c r="O107" s="108">
        <v>0</v>
      </c>
      <c r="P107" s="108">
        <v>0</v>
      </c>
      <c r="Q107" s="108">
        <v>0</v>
      </c>
      <c r="R107" s="108">
        <v>0</v>
      </c>
      <c r="S107" s="110">
        <v>0</v>
      </c>
      <c r="T107" s="108">
        <v>0</v>
      </c>
      <c r="U107" s="109">
        <v>0</v>
      </c>
      <c r="V107" s="109">
        <v>0</v>
      </c>
      <c r="W107" s="110">
        <v>0</v>
      </c>
      <c r="X107" s="108">
        <v>0</v>
      </c>
      <c r="Y107" s="110">
        <v>0</v>
      </c>
      <c r="Z107" s="112">
        <v>0</v>
      </c>
      <c r="AA107" s="3"/>
      <c r="AB107" s="113">
        <v>6</v>
      </c>
      <c r="AC107" s="113">
        <v>1</v>
      </c>
      <c r="AD107" s="113">
        <v>1</v>
      </c>
      <c r="AE107" s="113">
        <v>1</v>
      </c>
      <c r="AF107" s="113">
        <v>0</v>
      </c>
      <c r="AG107" s="113">
        <v>0</v>
      </c>
    </row>
    <row r="108" spans="1:35" ht="15.75" thickBot="1" x14ac:dyDescent="0.3">
      <c r="A108" s="28" t="s">
        <v>188</v>
      </c>
      <c r="B108" s="114" t="s">
        <v>202</v>
      </c>
      <c r="C108" s="30" t="s">
        <v>203</v>
      </c>
      <c r="D108" s="30" t="s">
        <v>190</v>
      </c>
      <c r="E108" s="98">
        <v>0</v>
      </c>
      <c r="F108" s="102">
        <v>1</v>
      </c>
      <c r="G108" s="102">
        <v>0</v>
      </c>
      <c r="H108" s="102">
        <v>0</v>
      </c>
      <c r="I108" s="99">
        <v>0</v>
      </c>
      <c r="J108" s="99">
        <v>0</v>
      </c>
      <c r="K108" s="24">
        <v>0</v>
      </c>
      <c r="L108" s="102">
        <v>0</v>
      </c>
      <c r="M108" s="99">
        <v>0</v>
      </c>
      <c r="N108" s="98">
        <v>0</v>
      </c>
      <c r="O108" s="98">
        <v>0</v>
      </c>
      <c r="P108" s="98">
        <v>0</v>
      </c>
      <c r="Q108" s="98">
        <v>0</v>
      </c>
      <c r="R108" s="98">
        <v>0</v>
      </c>
      <c r="S108" s="99">
        <v>0</v>
      </c>
      <c r="T108" s="98">
        <v>0</v>
      </c>
      <c r="U108" s="102">
        <v>0</v>
      </c>
      <c r="V108" s="102">
        <v>0</v>
      </c>
      <c r="W108" s="99">
        <v>0</v>
      </c>
      <c r="X108" s="98">
        <v>0</v>
      </c>
      <c r="Y108" s="99">
        <v>0</v>
      </c>
      <c r="Z108" s="100">
        <v>0</v>
      </c>
      <c r="AA108" s="3"/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</row>
    <row r="109" spans="1:35" ht="15.75" thickBot="1" x14ac:dyDescent="0.3">
      <c r="A109" s="28" t="s">
        <v>188</v>
      </c>
      <c r="B109" s="114" t="s">
        <v>202</v>
      </c>
      <c r="C109" s="30" t="s">
        <v>203</v>
      </c>
      <c r="D109" s="30" t="s">
        <v>190</v>
      </c>
      <c r="E109" s="98">
        <v>0</v>
      </c>
      <c r="F109" s="98">
        <v>13</v>
      </c>
      <c r="G109" s="98">
        <v>1</v>
      </c>
      <c r="H109" s="98">
        <v>2</v>
      </c>
      <c r="I109" s="99">
        <v>0</v>
      </c>
      <c r="J109" s="99">
        <v>0</v>
      </c>
      <c r="K109" s="24">
        <v>0</v>
      </c>
      <c r="L109" s="98">
        <v>1</v>
      </c>
      <c r="M109" s="99">
        <v>0</v>
      </c>
      <c r="N109" s="98">
        <v>0</v>
      </c>
      <c r="O109" s="98">
        <v>0</v>
      </c>
      <c r="P109" s="98">
        <v>0</v>
      </c>
      <c r="Q109" s="98">
        <v>0</v>
      </c>
      <c r="R109" s="98">
        <v>0</v>
      </c>
      <c r="S109" s="99">
        <v>0</v>
      </c>
      <c r="T109" s="98">
        <v>0</v>
      </c>
      <c r="U109" s="98">
        <v>1</v>
      </c>
      <c r="V109" s="98">
        <v>0</v>
      </c>
      <c r="W109" s="99">
        <v>0</v>
      </c>
      <c r="X109" s="98">
        <v>0</v>
      </c>
      <c r="Y109" s="99">
        <v>0</v>
      </c>
      <c r="Z109" s="100">
        <v>0</v>
      </c>
      <c r="AA109" s="3"/>
      <c r="AB109" s="26">
        <v>102</v>
      </c>
      <c r="AC109" s="26">
        <v>15</v>
      </c>
      <c r="AD109" s="26">
        <v>6</v>
      </c>
      <c r="AE109" s="26">
        <v>6</v>
      </c>
      <c r="AF109" s="26">
        <v>0</v>
      </c>
      <c r="AG109" s="26">
        <v>12</v>
      </c>
    </row>
    <row r="110" spans="1:35" ht="27.75" thickBot="1" x14ac:dyDescent="0.3">
      <c r="A110" s="28" t="s">
        <v>188</v>
      </c>
      <c r="B110" s="114" t="s">
        <v>204</v>
      </c>
      <c r="C110" s="30" t="s">
        <v>205</v>
      </c>
      <c r="D110" s="30" t="s">
        <v>206</v>
      </c>
      <c r="E110" s="98">
        <v>0</v>
      </c>
      <c r="F110" s="98">
        <v>2</v>
      </c>
      <c r="G110" s="98">
        <v>0</v>
      </c>
      <c r="H110" s="98">
        <v>0</v>
      </c>
      <c r="I110" s="99">
        <v>0</v>
      </c>
      <c r="J110" s="99">
        <v>0</v>
      </c>
      <c r="K110" s="24">
        <v>0</v>
      </c>
      <c r="L110" s="98">
        <v>0</v>
      </c>
      <c r="M110" s="99">
        <v>0</v>
      </c>
      <c r="N110" s="98">
        <v>0</v>
      </c>
      <c r="O110" s="98">
        <v>0</v>
      </c>
      <c r="P110" s="98">
        <v>0</v>
      </c>
      <c r="Q110" s="98">
        <v>0</v>
      </c>
      <c r="R110" s="98">
        <v>0</v>
      </c>
      <c r="S110" s="99">
        <v>0</v>
      </c>
      <c r="T110" s="98">
        <v>0</v>
      </c>
      <c r="U110" s="98">
        <v>0</v>
      </c>
      <c r="V110" s="98">
        <v>0</v>
      </c>
      <c r="W110" s="99">
        <v>0</v>
      </c>
      <c r="X110" s="98">
        <v>0</v>
      </c>
      <c r="Y110" s="99">
        <v>0</v>
      </c>
      <c r="Z110" s="100">
        <v>0</v>
      </c>
      <c r="AA110" s="38">
        <f>AA115*9</f>
        <v>5534089143.3121166</v>
      </c>
      <c r="AB110" s="26">
        <v>14</v>
      </c>
      <c r="AC110" s="26">
        <v>2</v>
      </c>
      <c r="AD110" s="26">
        <v>1</v>
      </c>
      <c r="AE110" s="26">
        <v>1</v>
      </c>
      <c r="AF110" s="26">
        <v>0</v>
      </c>
      <c r="AG110" s="26">
        <v>0</v>
      </c>
    </row>
    <row r="111" spans="1:35" ht="15.75" thickBot="1" x14ac:dyDescent="0.3">
      <c r="A111" s="62" t="s">
        <v>188</v>
      </c>
      <c r="B111" s="115" t="s">
        <v>204</v>
      </c>
      <c r="C111" s="64" t="s">
        <v>207</v>
      </c>
      <c r="D111" s="64" t="s">
        <v>208</v>
      </c>
      <c r="E111" s="116">
        <v>0</v>
      </c>
      <c r="F111" s="117">
        <v>1</v>
      </c>
      <c r="G111" s="117">
        <v>0</v>
      </c>
      <c r="H111" s="117">
        <v>0</v>
      </c>
      <c r="I111" s="118">
        <v>0</v>
      </c>
      <c r="J111" s="118">
        <v>0</v>
      </c>
      <c r="K111" s="24">
        <v>0</v>
      </c>
      <c r="L111" s="117">
        <v>0</v>
      </c>
      <c r="M111" s="118">
        <v>0</v>
      </c>
      <c r="N111" s="116">
        <v>0</v>
      </c>
      <c r="O111" s="116">
        <v>0</v>
      </c>
      <c r="P111" s="116">
        <v>0</v>
      </c>
      <c r="Q111" s="116">
        <v>0</v>
      </c>
      <c r="R111" s="116">
        <v>0</v>
      </c>
      <c r="S111" s="118">
        <v>0</v>
      </c>
      <c r="T111" s="116">
        <v>0</v>
      </c>
      <c r="U111" s="117">
        <v>0</v>
      </c>
      <c r="V111" s="117">
        <v>0</v>
      </c>
      <c r="W111" s="118">
        <v>0</v>
      </c>
      <c r="X111" s="116">
        <v>0</v>
      </c>
      <c r="Y111" s="118">
        <v>0</v>
      </c>
      <c r="Z111" s="119">
        <v>0</v>
      </c>
      <c r="AA111" s="3"/>
      <c r="AB111" s="35">
        <v>6</v>
      </c>
      <c r="AC111" s="35">
        <v>1</v>
      </c>
      <c r="AD111" s="35">
        <v>1</v>
      </c>
      <c r="AE111" s="35">
        <v>1</v>
      </c>
      <c r="AF111" s="35">
        <v>0</v>
      </c>
      <c r="AG111" s="35">
        <v>0</v>
      </c>
    </row>
    <row r="112" spans="1:35" ht="15.75" thickBot="1" x14ac:dyDescent="0.3">
      <c r="A112" s="202" t="s">
        <v>94</v>
      </c>
      <c r="B112" s="203"/>
      <c r="C112" s="203"/>
      <c r="D112" s="204"/>
      <c r="E112" s="39">
        <f>SUM(E100:E111)</f>
        <v>1</v>
      </c>
      <c r="F112" s="40">
        <f t="shared" ref="F112:AG112" si="30">SUM(F100:F111)</f>
        <v>25</v>
      </c>
      <c r="G112" s="40">
        <f t="shared" si="30"/>
        <v>2</v>
      </c>
      <c r="H112" s="40">
        <f t="shared" si="30"/>
        <v>2</v>
      </c>
      <c r="I112" s="41">
        <f t="shared" si="30"/>
        <v>0</v>
      </c>
      <c r="J112" s="41">
        <f t="shared" si="30"/>
        <v>0</v>
      </c>
      <c r="K112" s="41"/>
      <c r="L112" s="40">
        <f t="shared" si="30"/>
        <v>1</v>
      </c>
      <c r="M112" s="41">
        <f t="shared" si="30"/>
        <v>0</v>
      </c>
      <c r="N112" s="40">
        <f t="shared" si="30"/>
        <v>2</v>
      </c>
      <c r="O112" s="40">
        <f t="shared" si="30"/>
        <v>0</v>
      </c>
      <c r="P112" s="40">
        <f t="shared" si="30"/>
        <v>2</v>
      </c>
      <c r="Q112" s="40">
        <f t="shared" si="30"/>
        <v>0</v>
      </c>
      <c r="R112" s="40">
        <f t="shared" si="30"/>
        <v>0</v>
      </c>
      <c r="S112" s="41">
        <f t="shared" si="30"/>
        <v>0</v>
      </c>
      <c r="T112" s="40">
        <f t="shared" si="30"/>
        <v>0</v>
      </c>
      <c r="U112" s="40">
        <f t="shared" si="30"/>
        <v>1</v>
      </c>
      <c r="V112" s="40">
        <f t="shared" si="30"/>
        <v>0</v>
      </c>
      <c r="W112" s="41">
        <f t="shared" si="30"/>
        <v>0</v>
      </c>
      <c r="X112" s="40">
        <f t="shared" si="30"/>
        <v>0</v>
      </c>
      <c r="Y112" s="41">
        <f t="shared" si="30"/>
        <v>0</v>
      </c>
      <c r="Z112" s="42">
        <f t="shared" si="30"/>
        <v>0</v>
      </c>
      <c r="AA112" s="43">
        <f>SUM(E112:Z112)</f>
        <v>36</v>
      </c>
      <c r="AB112" s="44">
        <f t="shared" si="30"/>
        <v>186</v>
      </c>
      <c r="AC112" s="44">
        <f t="shared" si="30"/>
        <v>24</v>
      </c>
      <c r="AD112" s="44">
        <f t="shared" si="30"/>
        <v>14</v>
      </c>
      <c r="AE112" s="44">
        <f t="shared" si="30"/>
        <v>14</v>
      </c>
      <c r="AF112" s="44">
        <f t="shared" si="30"/>
        <v>3</v>
      </c>
      <c r="AG112" s="44">
        <f t="shared" si="30"/>
        <v>19</v>
      </c>
    </row>
    <row r="113" spans="1:35" s="75" customFormat="1" ht="15.75" thickBot="1" x14ac:dyDescent="0.3">
      <c r="A113" s="68"/>
      <c r="B113" s="69"/>
      <c r="C113" s="69"/>
      <c r="D113" s="69"/>
      <c r="E113" s="70"/>
      <c r="F113" s="70"/>
      <c r="G113" s="70"/>
      <c r="H113" s="70"/>
      <c r="I113" s="71"/>
      <c r="J113" s="71"/>
      <c r="K113" s="71"/>
      <c r="L113" s="70"/>
      <c r="M113" s="71"/>
      <c r="N113" s="70"/>
      <c r="O113" s="70"/>
      <c r="P113" s="70"/>
      <c r="Q113" s="70"/>
      <c r="R113" s="70"/>
      <c r="S113" s="71"/>
      <c r="T113" s="70"/>
      <c r="U113" s="70"/>
      <c r="V113" s="70"/>
      <c r="W113" s="71"/>
      <c r="X113" s="70"/>
      <c r="Y113" s="71"/>
      <c r="Z113" s="72"/>
      <c r="AA113" s="73">
        <f>SUM(E113:Z113)</f>
        <v>0</v>
      </c>
      <c r="AB113" s="74"/>
      <c r="AC113" s="74"/>
      <c r="AD113" s="74"/>
      <c r="AE113" s="74"/>
      <c r="AF113" s="74"/>
      <c r="AG113" s="74"/>
      <c r="AI113" s="76"/>
    </row>
    <row r="114" spans="1:35" ht="15.75" thickBot="1" x14ac:dyDescent="0.3">
      <c r="A114" s="45"/>
      <c r="B114" s="199" t="s">
        <v>95</v>
      </c>
      <c r="C114" s="199"/>
      <c r="D114" s="46"/>
      <c r="E114" s="47"/>
      <c r="F114" s="47"/>
      <c r="G114" s="47"/>
      <c r="H114" s="47"/>
      <c r="I114" s="48"/>
      <c r="J114" s="48"/>
      <c r="K114" s="48"/>
      <c r="L114" s="47"/>
      <c r="M114" s="48"/>
      <c r="N114" s="47"/>
      <c r="O114" s="47"/>
      <c r="P114" s="47"/>
      <c r="Q114" s="47"/>
      <c r="R114" s="47"/>
      <c r="S114" s="48"/>
      <c r="T114" s="47"/>
      <c r="U114" s="47"/>
      <c r="V114" s="47"/>
      <c r="W114" s="48"/>
      <c r="X114" s="47"/>
      <c r="Y114" s="48"/>
      <c r="Z114" s="49"/>
      <c r="AA114" s="53">
        <f>SUM(E114:Z114)</f>
        <v>0</v>
      </c>
      <c r="AB114" s="74"/>
      <c r="AC114" s="74"/>
      <c r="AD114" s="74"/>
      <c r="AE114" s="74"/>
      <c r="AF114" s="74"/>
      <c r="AG114" s="74"/>
    </row>
    <row r="115" spans="1:35" ht="15.75" thickBot="1" x14ac:dyDescent="0.3">
      <c r="A115" s="205" t="s">
        <v>96</v>
      </c>
      <c r="B115" s="206"/>
      <c r="C115" s="206"/>
      <c r="D115" s="206"/>
      <c r="E115" s="54">
        <f t="shared" ref="E115:J115" si="31">E112*E5</f>
        <v>19177693.144664995</v>
      </c>
      <c r="F115" s="54">
        <f t="shared" si="31"/>
        <v>470725195.36905003</v>
      </c>
      <c r="G115" s="54">
        <f t="shared" si="31"/>
        <v>37658015.629524</v>
      </c>
      <c r="H115" s="54">
        <f t="shared" si="31"/>
        <v>38704071.619232997</v>
      </c>
      <c r="I115" s="55">
        <f t="shared" si="31"/>
        <v>0</v>
      </c>
      <c r="J115" s="55">
        <f t="shared" si="31"/>
        <v>0</v>
      </c>
      <c r="K115" s="55"/>
      <c r="L115" s="54">
        <f>L112*L5</f>
        <v>11652074.726967987</v>
      </c>
      <c r="M115" s="55">
        <f>M112*M5</f>
        <v>0</v>
      </c>
      <c r="N115" s="54">
        <f t="shared" ref="N115:Z115" si="32">N112*N5</f>
        <v>18643319.563148782</v>
      </c>
      <c r="O115" s="54">
        <f t="shared" si="32"/>
        <v>0</v>
      </c>
      <c r="P115" s="54">
        <f t="shared" si="32"/>
        <v>11028584.392671058</v>
      </c>
      <c r="Q115" s="54">
        <f t="shared" si="32"/>
        <v>0</v>
      </c>
      <c r="R115" s="54">
        <f t="shared" si="32"/>
        <v>0</v>
      </c>
      <c r="S115" s="55">
        <f t="shared" si="32"/>
        <v>0</v>
      </c>
      <c r="T115" s="54">
        <f t="shared" si="32"/>
        <v>0</v>
      </c>
      <c r="U115" s="54">
        <f t="shared" si="32"/>
        <v>7309839.2560864929</v>
      </c>
      <c r="V115" s="54">
        <f t="shared" si="32"/>
        <v>0</v>
      </c>
      <c r="W115" s="55">
        <f t="shared" si="32"/>
        <v>0</v>
      </c>
      <c r="X115" s="54">
        <f t="shared" si="32"/>
        <v>0</v>
      </c>
      <c r="Y115" s="55">
        <f t="shared" si="32"/>
        <v>0</v>
      </c>
      <c r="Z115" s="56">
        <f t="shared" si="32"/>
        <v>0</v>
      </c>
      <c r="AA115" s="57">
        <f>SUM(E115:Z115)</f>
        <v>614898793.70134628</v>
      </c>
      <c r="AB115" s="77">
        <f>AB112*AB5</f>
        <v>5618420.7800000003</v>
      </c>
      <c r="AC115" s="77">
        <f t="shared" ref="AC115:AG115" si="33">AC112*AC5</f>
        <v>2817891.4400000004</v>
      </c>
      <c r="AD115" s="77">
        <f t="shared" si="33"/>
        <v>2105724.04</v>
      </c>
      <c r="AE115" s="77">
        <f t="shared" si="33"/>
        <v>1528999.2666666666</v>
      </c>
      <c r="AF115" s="77">
        <f t="shared" si="33"/>
        <v>1033184.1799999999</v>
      </c>
      <c r="AG115" s="77">
        <f t="shared" si="33"/>
        <v>2201942.6800000002</v>
      </c>
    </row>
    <row r="116" spans="1:35" ht="27.75" thickBot="1" x14ac:dyDescent="0.3">
      <c r="A116" s="20" t="s">
        <v>209</v>
      </c>
      <c r="B116" s="120" t="s">
        <v>210</v>
      </c>
      <c r="C116" s="121" t="s">
        <v>211</v>
      </c>
      <c r="D116" s="121" t="s">
        <v>212</v>
      </c>
      <c r="E116" s="23">
        <v>0</v>
      </c>
      <c r="F116" s="23">
        <v>1</v>
      </c>
      <c r="G116" s="23">
        <v>0</v>
      </c>
      <c r="H116" s="23">
        <v>0</v>
      </c>
      <c r="I116" s="24">
        <v>0</v>
      </c>
      <c r="J116" s="24">
        <v>0</v>
      </c>
      <c r="K116" s="24">
        <v>0</v>
      </c>
      <c r="L116" s="23">
        <v>0</v>
      </c>
      <c r="M116" s="24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4">
        <v>0</v>
      </c>
      <c r="T116" s="23">
        <v>0</v>
      </c>
      <c r="U116" s="23">
        <v>0</v>
      </c>
      <c r="V116" s="23">
        <v>0</v>
      </c>
      <c r="W116" s="24">
        <v>0</v>
      </c>
      <c r="X116" s="23">
        <v>0</v>
      </c>
      <c r="Y116" s="24">
        <v>0</v>
      </c>
      <c r="Z116" s="25">
        <v>0</v>
      </c>
      <c r="AA116" s="3"/>
      <c r="AB116" s="26">
        <v>28</v>
      </c>
      <c r="AC116" s="26">
        <v>2</v>
      </c>
      <c r="AD116" s="26">
        <v>1</v>
      </c>
      <c r="AE116" s="26">
        <v>1</v>
      </c>
      <c r="AF116" s="26">
        <v>1</v>
      </c>
      <c r="AG116" s="26">
        <v>0</v>
      </c>
    </row>
    <row r="117" spans="1:35" ht="27.75" thickBot="1" x14ac:dyDescent="0.3">
      <c r="A117" s="28" t="s">
        <v>209</v>
      </c>
      <c r="B117" s="122" t="s">
        <v>210</v>
      </c>
      <c r="C117" s="123" t="s">
        <v>213</v>
      </c>
      <c r="D117" s="123" t="s">
        <v>212</v>
      </c>
      <c r="E117" s="31">
        <v>0</v>
      </c>
      <c r="F117" s="31">
        <v>2</v>
      </c>
      <c r="G117" s="31">
        <v>0</v>
      </c>
      <c r="H117" s="31">
        <v>0</v>
      </c>
      <c r="I117" s="32">
        <v>0</v>
      </c>
      <c r="J117" s="32">
        <v>0</v>
      </c>
      <c r="K117" s="24">
        <v>0</v>
      </c>
      <c r="L117" s="31">
        <v>0</v>
      </c>
      <c r="M117" s="32">
        <v>0</v>
      </c>
      <c r="N117" s="31">
        <v>2</v>
      </c>
      <c r="O117" s="31">
        <v>0</v>
      </c>
      <c r="P117" s="31">
        <v>0</v>
      </c>
      <c r="Q117" s="31">
        <v>0</v>
      </c>
      <c r="R117" s="31">
        <v>0</v>
      </c>
      <c r="S117" s="32">
        <v>0</v>
      </c>
      <c r="T117" s="31">
        <v>0</v>
      </c>
      <c r="U117" s="31">
        <v>0</v>
      </c>
      <c r="V117" s="31">
        <v>0</v>
      </c>
      <c r="W117" s="32">
        <v>0</v>
      </c>
      <c r="X117" s="31">
        <v>0</v>
      </c>
      <c r="Y117" s="32">
        <v>0</v>
      </c>
      <c r="Z117" s="33">
        <v>0</v>
      </c>
      <c r="AA117" s="3"/>
      <c r="AB117" s="26">
        <v>8</v>
      </c>
      <c r="AC117" s="26">
        <v>1</v>
      </c>
      <c r="AD117" s="26">
        <v>1</v>
      </c>
      <c r="AE117" s="26">
        <v>1</v>
      </c>
      <c r="AF117" s="26"/>
      <c r="AG117" s="26">
        <v>1</v>
      </c>
    </row>
    <row r="118" spans="1:35" ht="27.75" thickBot="1" x14ac:dyDescent="0.3">
      <c r="A118" s="28" t="s">
        <v>209</v>
      </c>
      <c r="B118" s="122" t="s">
        <v>210</v>
      </c>
      <c r="C118" s="123" t="s">
        <v>214</v>
      </c>
      <c r="D118" s="123" t="s">
        <v>212</v>
      </c>
      <c r="E118" s="31">
        <v>0</v>
      </c>
      <c r="F118" s="31">
        <v>0</v>
      </c>
      <c r="G118" s="31">
        <v>0</v>
      </c>
      <c r="H118" s="31">
        <v>0</v>
      </c>
      <c r="I118" s="32">
        <v>0</v>
      </c>
      <c r="J118" s="32">
        <v>0</v>
      </c>
      <c r="K118" s="24">
        <v>0</v>
      </c>
      <c r="L118" s="31">
        <v>0</v>
      </c>
      <c r="M118" s="32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2">
        <v>0</v>
      </c>
      <c r="T118" s="31">
        <v>0</v>
      </c>
      <c r="U118" s="31">
        <v>0</v>
      </c>
      <c r="V118" s="31">
        <v>0</v>
      </c>
      <c r="W118" s="32">
        <v>0</v>
      </c>
      <c r="X118" s="31">
        <v>1</v>
      </c>
      <c r="Y118" s="32">
        <v>0</v>
      </c>
      <c r="Z118" s="33">
        <v>0</v>
      </c>
      <c r="AA118" s="3"/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</row>
    <row r="119" spans="1:35" ht="41.25" thickBot="1" x14ac:dyDescent="0.3">
      <c r="A119" s="28" t="s">
        <v>209</v>
      </c>
      <c r="B119" s="122" t="s">
        <v>210</v>
      </c>
      <c r="C119" s="123" t="s">
        <v>215</v>
      </c>
      <c r="D119" s="123" t="s">
        <v>212</v>
      </c>
      <c r="E119" s="31">
        <v>0</v>
      </c>
      <c r="F119" s="31">
        <v>0</v>
      </c>
      <c r="G119" s="31">
        <v>0</v>
      </c>
      <c r="H119" s="31">
        <v>0</v>
      </c>
      <c r="I119" s="32">
        <v>0</v>
      </c>
      <c r="J119" s="32">
        <v>0</v>
      </c>
      <c r="K119" s="24">
        <v>0</v>
      </c>
      <c r="L119" s="31">
        <v>0</v>
      </c>
      <c r="M119" s="32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2">
        <v>0</v>
      </c>
      <c r="T119" s="31">
        <v>0</v>
      </c>
      <c r="U119" s="31">
        <v>0</v>
      </c>
      <c r="V119" s="31">
        <v>0</v>
      </c>
      <c r="W119" s="32">
        <v>0</v>
      </c>
      <c r="X119" s="31">
        <v>0</v>
      </c>
      <c r="Y119" s="32">
        <v>0</v>
      </c>
      <c r="Z119" s="33">
        <v>0</v>
      </c>
      <c r="AA119" s="3"/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</row>
    <row r="120" spans="1:35" ht="27.75" thickBot="1" x14ac:dyDescent="0.3">
      <c r="A120" s="28" t="s">
        <v>209</v>
      </c>
      <c r="B120" s="122" t="s">
        <v>210</v>
      </c>
      <c r="C120" s="123" t="s">
        <v>216</v>
      </c>
      <c r="D120" s="123" t="s">
        <v>212</v>
      </c>
      <c r="E120" s="31">
        <v>0</v>
      </c>
      <c r="F120" s="31">
        <v>1</v>
      </c>
      <c r="G120" s="31">
        <v>0</v>
      </c>
      <c r="H120" s="31">
        <v>0</v>
      </c>
      <c r="I120" s="32">
        <v>0</v>
      </c>
      <c r="J120" s="32">
        <v>0</v>
      </c>
      <c r="K120" s="24">
        <v>0</v>
      </c>
      <c r="L120" s="31">
        <v>0</v>
      </c>
      <c r="M120" s="32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2">
        <v>0</v>
      </c>
      <c r="T120" s="31">
        <v>0</v>
      </c>
      <c r="U120" s="31">
        <v>0</v>
      </c>
      <c r="V120" s="31">
        <v>0</v>
      </c>
      <c r="W120" s="32">
        <v>0</v>
      </c>
      <c r="X120" s="31">
        <v>0</v>
      </c>
      <c r="Y120" s="32">
        <v>0</v>
      </c>
      <c r="Z120" s="33">
        <v>0</v>
      </c>
      <c r="AA120" s="3"/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</row>
    <row r="121" spans="1:35" ht="27.75" thickBot="1" x14ac:dyDescent="0.3">
      <c r="A121" s="28" t="s">
        <v>209</v>
      </c>
      <c r="B121" s="122" t="s">
        <v>210</v>
      </c>
      <c r="C121" s="123" t="s">
        <v>217</v>
      </c>
      <c r="D121" s="123" t="s">
        <v>212</v>
      </c>
      <c r="E121" s="31">
        <v>0</v>
      </c>
      <c r="F121" s="31">
        <v>0</v>
      </c>
      <c r="G121" s="31">
        <v>0</v>
      </c>
      <c r="H121" s="31">
        <v>0</v>
      </c>
      <c r="I121" s="32">
        <v>0</v>
      </c>
      <c r="J121" s="32">
        <v>0</v>
      </c>
      <c r="K121" s="24">
        <v>0</v>
      </c>
      <c r="L121" s="31">
        <v>0</v>
      </c>
      <c r="M121" s="32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2">
        <v>0</v>
      </c>
      <c r="T121" s="31">
        <v>0</v>
      </c>
      <c r="U121" s="31">
        <v>0</v>
      </c>
      <c r="V121" s="31">
        <v>0</v>
      </c>
      <c r="W121" s="32">
        <v>0</v>
      </c>
      <c r="X121" s="31">
        <v>0</v>
      </c>
      <c r="Y121" s="32">
        <v>0</v>
      </c>
      <c r="Z121" s="33">
        <v>0</v>
      </c>
      <c r="AA121" s="38">
        <f>AA126*9</f>
        <v>1054798132.4462447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</row>
    <row r="122" spans="1:35" ht="27.75" thickBot="1" x14ac:dyDescent="0.3">
      <c r="A122" s="62" t="s">
        <v>209</v>
      </c>
      <c r="B122" s="124" t="s">
        <v>210</v>
      </c>
      <c r="C122" s="125" t="s">
        <v>218</v>
      </c>
      <c r="D122" s="125" t="s">
        <v>219</v>
      </c>
      <c r="E122" s="65">
        <v>0</v>
      </c>
      <c r="F122" s="65">
        <v>1</v>
      </c>
      <c r="G122" s="65">
        <v>0</v>
      </c>
      <c r="H122" s="65">
        <v>0</v>
      </c>
      <c r="I122" s="66">
        <v>0</v>
      </c>
      <c r="J122" s="66">
        <v>0</v>
      </c>
      <c r="K122" s="24">
        <v>0</v>
      </c>
      <c r="L122" s="65">
        <v>0</v>
      </c>
      <c r="M122" s="66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6">
        <v>0</v>
      </c>
      <c r="T122" s="65">
        <v>0</v>
      </c>
      <c r="U122" s="65">
        <v>0</v>
      </c>
      <c r="V122" s="65">
        <v>0</v>
      </c>
      <c r="W122" s="66">
        <v>0</v>
      </c>
      <c r="X122" s="65">
        <v>0</v>
      </c>
      <c r="Y122" s="66">
        <v>0</v>
      </c>
      <c r="Z122" s="67">
        <v>0</v>
      </c>
      <c r="AA122" s="3"/>
      <c r="AB122" s="26">
        <v>15</v>
      </c>
      <c r="AC122" s="26">
        <v>5</v>
      </c>
      <c r="AD122" s="26">
        <v>3</v>
      </c>
      <c r="AE122" s="26">
        <v>2</v>
      </c>
      <c r="AF122" s="26">
        <v>1</v>
      </c>
      <c r="AG122" s="26">
        <v>8</v>
      </c>
    </row>
    <row r="123" spans="1:35" ht="15.75" thickBot="1" x14ac:dyDescent="0.3">
      <c r="A123" s="202" t="s">
        <v>94</v>
      </c>
      <c r="B123" s="203"/>
      <c r="C123" s="203"/>
      <c r="D123" s="204"/>
      <c r="E123" s="39">
        <f>SUM(E116:E122)</f>
        <v>0</v>
      </c>
      <c r="F123" s="40">
        <f t="shared" ref="F123:AG123" si="34">SUM(F116:F122)</f>
        <v>5</v>
      </c>
      <c r="G123" s="40">
        <f t="shared" si="34"/>
        <v>0</v>
      </c>
      <c r="H123" s="40">
        <f t="shared" si="34"/>
        <v>0</v>
      </c>
      <c r="I123" s="41">
        <f t="shared" si="34"/>
        <v>0</v>
      </c>
      <c r="J123" s="41">
        <f t="shared" si="34"/>
        <v>0</v>
      </c>
      <c r="K123" s="41"/>
      <c r="L123" s="40">
        <f t="shared" si="34"/>
        <v>0</v>
      </c>
      <c r="M123" s="41">
        <f t="shared" si="34"/>
        <v>0</v>
      </c>
      <c r="N123" s="40">
        <f t="shared" si="34"/>
        <v>2</v>
      </c>
      <c r="O123" s="40">
        <f t="shared" si="34"/>
        <v>0</v>
      </c>
      <c r="P123" s="40">
        <f t="shared" si="34"/>
        <v>0</v>
      </c>
      <c r="Q123" s="40">
        <f t="shared" si="34"/>
        <v>0</v>
      </c>
      <c r="R123" s="40">
        <f t="shared" si="34"/>
        <v>0</v>
      </c>
      <c r="S123" s="41">
        <f t="shared" si="34"/>
        <v>0</v>
      </c>
      <c r="T123" s="40">
        <f t="shared" si="34"/>
        <v>0</v>
      </c>
      <c r="U123" s="40">
        <f t="shared" si="34"/>
        <v>0</v>
      </c>
      <c r="V123" s="40">
        <f t="shared" si="34"/>
        <v>0</v>
      </c>
      <c r="W123" s="41">
        <f t="shared" si="34"/>
        <v>0</v>
      </c>
      <c r="X123" s="40">
        <f t="shared" si="34"/>
        <v>1</v>
      </c>
      <c r="Y123" s="41">
        <f t="shared" si="34"/>
        <v>0</v>
      </c>
      <c r="Z123" s="42">
        <f t="shared" si="34"/>
        <v>0</v>
      </c>
      <c r="AA123" s="43">
        <f>SUM(E123:Z123)</f>
        <v>8</v>
      </c>
      <c r="AB123" s="44">
        <f t="shared" si="34"/>
        <v>51</v>
      </c>
      <c r="AC123" s="44">
        <f t="shared" si="34"/>
        <v>8</v>
      </c>
      <c r="AD123" s="44">
        <f t="shared" si="34"/>
        <v>5</v>
      </c>
      <c r="AE123" s="44">
        <f t="shared" si="34"/>
        <v>4</v>
      </c>
      <c r="AF123" s="44">
        <f t="shared" si="34"/>
        <v>2</v>
      </c>
      <c r="AG123" s="44">
        <f t="shared" si="34"/>
        <v>9</v>
      </c>
    </row>
    <row r="124" spans="1:35" s="75" customFormat="1" ht="15.75" thickBot="1" x14ac:dyDescent="0.3">
      <c r="A124" s="68"/>
      <c r="B124" s="69"/>
      <c r="C124" s="69"/>
      <c r="D124" s="69"/>
      <c r="E124" s="70"/>
      <c r="F124" s="70"/>
      <c r="G124" s="70"/>
      <c r="H124" s="70"/>
      <c r="I124" s="71"/>
      <c r="J124" s="71"/>
      <c r="K124" s="71"/>
      <c r="L124" s="70"/>
      <c r="M124" s="71"/>
      <c r="N124" s="70"/>
      <c r="O124" s="70"/>
      <c r="P124" s="70"/>
      <c r="Q124" s="70"/>
      <c r="R124" s="70"/>
      <c r="S124" s="71"/>
      <c r="T124" s="70"/>
      <c r="U124" s="70"/>
      <c r="V124" s="70"/>
      <c r="W124" s="71"/>
      <c r="X124" s="70"/>
      <c r="Y124" s="71"/>
      <c r="Z124" s="72"/>
      <c r="AA124" s="73">
        <f>SUM(E124:Z124)</f>
        <v>0</v>
      </c>
      <c r="AB124" s="74"/>
      <c r="AC124" s="74"/>
      <c r="AD124" s="74"/>
      <c r="AE124" s="74"/>
      <c r="AF124" s="74"/>
      <c r="AG124" s="74"/>
      <c r="AI124" s="76"/>
    </row>
    <row r="125" spans="1:35" ht="15.75" thickBot="1" x14ac:dyDescent="0.3">
      <c r="A125" s="45"/>
      <c r="B125" s="199" t="s">
        <v>95</v>
      </c>
      <c r="C125" s="199"/>
      <c r="D125" s="46"/>
      <c r="E125" s="47"/>
      <c r="F125" s="47"/>
      <c r="G125" s="47"/>
      <c r="H125" s="47"/>
      <c r="I125" s="48"/>
      <c r="J125" s="48"/>
      <c r="K125" s="48"/>
      <c r="L125" s="47"/>
      <c r="M125" s="48"/>
      <c r="N125" s="47"/>
      <c r="O125" s="47"/>
      <c r="P125" s="47"/>
      <c r="Q125" s="47"/>
      <c r="R125" s="47"/>
      <c r="S125" s="48"/>
      <c r="T125" s="47"/>
      <c r="U125" s="47"/>
      <c r="V125" s="47"/>
      <c r="W125" s="48"/>
      <c r="X125" s="47"/>
      <c r="Y125" s="48"/>
      <c r="Z125" s="49"/>
      <c r="AA125" s="53">
        <f>SUM(E125:Z125)</f>
        <v>0</v>
      </c>
      <c r="AB125" s="74"/>
      <c r="AC125" s="74"/>
      <c r="AD125" s="74"/>
      <c r="AE125" s="74"/>
      <c r="AF125" s="74"/>
      <c r="AG125" s="74"/>
    </row>
    <row r="126" spans="1:35" ht="15.75" thickBot="1" x14ac:dyDescent="0.3">
      <c r="A126" s="205" t="s">
        <v>96</v>
      </c>
      <c r="B126" s="206"/>
      <c r="C126" s="206"/>
      <c r="D126" s="206"/>
      <c r="E126" s="126">
        <f t="shared" ref="E126:J126" si="35">E123*E5</f>
        <v>0</v>
      </c>
      <c r="F126" s="126">
        <f t="shared" si="35"/>
        <v>94145039.073809996</v>
      </c>
      <c r="G126" s="126">
        <f t="shared" si="35"/>
        <v>0</v>
      </c>
      <c r="H126" s="126">
        <f t="shared" si="35"/>
        <v>0</v>
      </c>
      <c r="I126" s="127">
        <f t="shared" si="35"/>
        <v>0</v>
      </c>
      <c r="J126" s="127">
        <f t="shared" si="35"/>
        <v>0</v>
      </c>
      <c r="K126" s="127"/>
      <c r="L126" s="126">
        <f>L123*L5</f>
        <v>0</v>
      </c>
      <c r="M126" s="127">
        <f>M123*M5</f>
        <v>0</v>
      </c>
      <c r="N126" s="126">
        <f t="shared" ref="N126:Z126" si="36">N123*N5</f>
        <v>18643319.563148782</v>
      </c>
      <c r="O126" s="126">
        <f t="shared" si="36"/>
        <v>0</v>
      </c>
      <c r="P126" s="126">
        <f t="shared" si="36"/>
        <v>0</v>
      </c>
      <c r="Q126" s="126">
        <f t="shared" si="36"/>
        <v>0</v>
      </c>
      <c r="R126" s="126">
        <f t="shared" si="36"/>
        <v>0</v>
      </c>
      <c r="S126" s="127">
        <f t="shared" si="36"/>
        <v>0</v>
      </c>
      <c r="T126" s="126">
        <f t="shared" si="36"/>
        <v>0</v>
      </c>
      <c r="U126" s="126">
        <f t="shared" si="36"/>
        <v>0</v>
      </c>
      <c r="V126" s="126">
        <f t="shared" si="36"/>
        <v>0</v>
      </c>
      <c r="W126" s="127">
        <f t="shared" si="36"/>
        <v>0</v>
      </c>
      <c r="X126" s="126">
        <f t="shared" si="36"/>
        <v>4411433.7570684226</v>
      </c>
      <c r="Y126" s="127">
        <f t="shared" si="36"/>
        <v>0</v>
      </c>
      <c r="Z126" s="128">
        <f t="shared" si="36"/>
        <v>0</v>
      </c>
      <c r="AA126" s="57">
        <f>SUM(E126:Z126)+0.1</f>
        <v>117199792.4940272</v>
      </c>
      <c r="AB126" s="129">
        <f>AB123*AB2</f>
        <v>1294567</v>
      </c>
      <c r="AC126" s="129">
        <f t="shared" ref="AC126:AG126" si="37">AC123*AC2</f>
        <v>789325.33333333337</v>
      </c>
      <c r="AD126" s="129">
        <f t="shared" si="37"/>
        <v>631970</v>
      </c>
      <c r="AE126" s="129">
        <f t="shared" si="37"/>
        <v>367106.66666666669</v>
      </c>
      <c r="AF126" s="129">
        <f t="shared" si="37"/>
        <v>578814.66666666663</v>
      </c>
      <c r="AG126" s="129">
        <f t="shared" si="37"/>
        <v>876492</v>
      </c>
    </row>
    <row r="127" spans="1:35" ht="27.75" thickBot="1" x14ac:dyDescent="0.3">
      <c r="A127" s="20" t="s">
        <v>220</v>
      </c>
      <c r="B127" s="120" t="s">
        <v>221</v>
      </c>
      <c r="C127" s="121" t="s">
        <v>222</v>
      </c>
      <c r="D127" s="121" t="s">
        <v>223</v>
      </c>
      <c r="E127" s="130">
        <v>0</v>
      </c>
      <c r="F127" s="130">
        <v>9</v>
      </c>
      <c r="G127" s="130">
        <v>0</v>
      </c>
      <c r="H127" s="130">
        <v>0</v>
      </c>
      <c r="I127" s="131">
        <v>0</v>
      </c>
      <c r="J127" s="131">
        <v>0</v>
      </c>
      <c r="K127" s="24">
        <v>0</v>
      </c>
      <c r="L127" s="130">
        <v>0</v>
      </c>
      <c r="M127" s="131">
        <v>0</v>
      </c>
      <c r="N127" s="130">
        <v>0</v>
      </c>
      <c r="O127" s="130">
        <v>0</v>
      </c>
      <c r="P127" s="130">
        <v>0</v>
      </c>
      <c r="Q127" s="130">
        <v>0</v>
      </c>
      <c r="R127" s="130">
        <v>0</v>
      </c>
      <c r="S127" s="131">
        <v>0</v>
      </c>
      <c r="T127" s="130">
        <v>0</v>
      </c>
      <c r="U127" s="130">
        <v>0</v>
      </c>
      <c r="V127" s="130">
        <v>0</v>
      </c>
      <c r="W127" s="131">
        <v>0</v>
      </c>
      <c r="X127" s="130">
        <v>0</v>
      </c>
      <c r="Y127" s="131">
        <v>0</v>
      </c>
      <c r="Z127" s="132">
        <v>0</v>
      </c>
      <c r="AA127" s="3"/>
      <c r="AB127" s="27">
        <f>38</f>
        <v>38</v>
      </c>
      <c r="AC127" s="26">
        <f>4</f>
        <v>4</v>
      </c>
      <c r="AD127" s="26">
        <v>2</v>
      </c>
      <c r="AE127" s="26">
        <v>2</v>
      </c>
      <c r="AF127" s="26">
        <v>1</v>
      </c>
      <c r="AG127" s="26">
        <f>3</f>
        <v>3</v>
      </c>
    </row>
    <row r="128" spans="1:35" ht="27.75" thickBot="1" x14ac:dyDescent="0.3">
      <c r="A128" s="28" t="s">
        <v>220</v>
      </c>
      <c r="B128" s="122" t="s">
        <v>224</v>
      </c>
      <c r="C128" s="123" t="s">
        <v>225</v>
      </c>
      <c r="D128" s="123" t="s">
        <v>223</v>
      </c>
      <c r="E128" s="31">
        <v>0</v>
      </c>
      <c r="F128" s="31">
        <v>1</v>
      </c>
      <c r="G128" s="31">
        <v>0</v>
      </c>
      <c r="H128" s="31">
        <v>0</v>
      </c>
      <c r="I128" s="32">
        <v>0</v>
      </c>
      <c r="J128" s="32">
        <v>0</v>
      </c>
      <c r="K128" s="24">
        <v>0</v>
      </c>
      <c r="L128" s="31">
        <v>0</v>
      </c>
      <c r="M128" s="32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2">
        <v>0</v>
      </c>
      <c r="T128" s="31">
        <v>0</v>
      </c>
      <c r="U128" s="31">
        <v>0</v>
      </c>
      <c r="V128" s="31">
        <v>0</v>
      </c>
      <c r="W128" s="32">
        <v>0</v>
      </c>
      <c r="X128" s="31">
        <v>0</v>
      </c>
      <c r="Y128" s="32">
        <v>0</v>
      </c>
      <c r="Z128" s="33">
        <v>0</v>
      </c>
      <c r="AA128" s="3"/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</row>
    <row r="129" spans="1:35" ht="27.75" thickBot="1" x14ac:dyDescent="0.3">
      <c r="A129" s="28" t="s">
        <v>220</v>
      </c>
      <c r="B129" s="122" t="s">
        <v>224</v>
      </c>
      <c r="C129" s="123" t="s">
        <v>226</v>
      </c>
      <c r="D129" s="123" t="s">
        <v>223</v>
      </c>
      <c r="E129" s="31">
        <v>0</v>
      </c>
      <c r="F129" s="31">
        <v>5</v>
      </c>
      <c r="G129" s="31">
        <v>1</v>
      </c>
      <c r="H129" s="31">
        <v>0</v>
      </c>
      <c r="I129" s="32">
        <v>0</v>
      </c>
      <c r="J129" s="32">
        <v>0</v>
      </c>
      <c r="K129" s="24">
        <v>0</v>
      </c>
      <c r="L129" s="31">
        <v>0</v>
      </c>
      <c r="M129" s="32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2">
        <v>0</v>
      </c>
      <c r="T129" s="31">
        <v>0</v>
      </c>
      <c r="U129" s="31">
        <v>0</v>
      </c>
      <c r="V129" s="31">
        <v>0</v>
      </c>
      <c r="W129" s="32">
        <v>0</v>
      </c>
      <c r="X129" s="31">
        <v>0</v>
      </c>
      <c r="Y129" s="32">
        <v>0</v>
      </c>
      <c r="Z129" s="33">
        <v>0</v>
      </c>
      <c r="AA129" s="3"/>
      <c r="AB129" s="26">
        <v>19</v>
      </c>
      <c r="AC129" s="26">
        <v>2</v>
      </c>
      <c r="AD129" s="26">
        <v>1</v>
      </c>
      <c r="AE129" s="26">
        <v>1</v>
      </c>
      <c r="AF129" s="26">
        <v>1</v>
      </c>
      <c r="AG129" s="26">
        <v>2</v>
      </c>
    </row>
    <row r="130" spans="1:35" ht="41.25" thickBot="1" x14ac:dyDescent="0.3">
      <c r="A130" s="28" t="s">
        <v>220</v>
      </c>
      <c r="B130" s="122" t="s">
        <v>224</v>
      </c>
      <c r="C130" s="123" t="s">
        <v>227</v>
      </c>
      <c r="D130" s="123" t="s">
        <v>228</v>
      </c>
      <c r="E130" s="31">
        <v>0</v>
      </c>
      <c r="F130" s="31"/>
      <c r="G130" s="31">
        <v>0</v>
      </c>
      <c r="H130" s="31">
        <v>0</v>
      </c>
      <c r="I130" s="32">
        <v>0</v>
      </c>
      <c r="J130" s="32">
        <v>0</v>
      </c>
      <c r="K130" s="24">
        <v>0</v>
      </c>
      <c r="L130" s="31">
        <v>0</v>
      </c>
      <c r="M130" s="32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2">
        <v>0</v>
      </c>
      <c r="T130" s="31">
        <v>0</v>
      </c>
      <c r="U130" s="31">
        <v>0</v>
      </c>
      <c r="V130" s="31">
        <v>0</v>
      </c>
      <c r="W130" s="32">
        <v>0</v>
      </c>
      <c r="X130" s="31">
        <v>0</v>
      </c>
      <c r="Y130" s="32">
        <v>0</v>
      </c>
      <c r="Z130" s="33">
        <v>0</v>
      </c>
      <c r="AA130" s="3"/>
      <c r="AB130" s="26"/>
      <c r="AC130" s="26"/>
      <c r="AD130" s="26"/>
      <c r="AE130" s="26"/>
      <c r="AF130" s="26"/>
      <c r="AG130" s="26"/>
    </row>
    <row r="131" spans="1:35" ht="27.75" thickBot="1" x14ac:dyDescent="0.3">
      <c r="A131" s="28" t="s">
        <v>220</v>
      </c>
      <c r="B131" s="122" t="s">
        <v>221</v>
      </c>
      <c r="C131" s="123" t="s">
        <v>229</v>
      </c>
      <c r="D131" s="123" t="s">
        <v>230</v>
      </c>
      <c r="E131" s="31">
        <v>0</v>
      </c>
      <c r="F131" s="31">
        <v>3</v>
      </c>
      <c r="G131" s="31">
        <v>0</v>
      </c>
      <c r="H131" s="31">
        <v>0</v>
      </c>
      <c r="I131" s="32">
        <v>0</v>
      </c>
      <c r="J131" s="32">
        <v>0</v>
      </c>
      <c r="K131" s="24">
        <v>0</v>
      </c>
      <c r="L131" s="31">
        <v>0</v>
      </c>
      <c r="M131" s="32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2">
        <v>0</v>
      </c>
      <c r="T131" s="31">
        <v>0</v>
      </c>
      <c r="U131" s="31">
        <v>0</v>
      </c>
      <c r="V131" s="31">
        <v>0</v>
      </c>
      <c r="W131" s="32">
        <v>0</v>
      </c>
      <c r="X131" s="31">
        <v>0</v>
      </c>
      <c r="Y131" s="32">
        <v>0</v>
      </c>
      <c r="Z131" s="33">
        <v>0</v>
      </c>
      <c r="AA131" s="3"/>
      <c r="AB131" s="26">
        <v>14</v>
      </c>
      <c r="AC131" s="26">
        <v>2</v>
      </c>
      <c r="AD131" s="26">
        <v>1</v>
      </c>
      <c r="AE131" s="26">
        <v>1</v>
      </c>
      <c r="AF131" s="26">
        <v>1</v>
      </c>
      <c r="AG131" s="26">
        <v>2</v>
      </c>
    </row>
    <row r="132" spans="1:35" ht="27.75" thickBot="1" x14ac:dyDescent="0.3">
      <c r="A132" s="28" t="s">
        <v>220</v>
      </c>
      <c r="B132" s="122" t="s">
        <v>231</v>
      </c>
      <c r="C132" s="123" t="s">
        <v>232</v>
      </c>
      <c r="D132" s="123" t="s">
        <v>233</v>
      </c>
      <c r="E132" s="31">
        <v>0</v>
      </c>
      <c r="F132" s="31">
        <v>2</v>
      </c>
      <c r="G132" s="31">
        <v>0</v>
      </c>
      <c r="H132" s="31">
        <v>0</v>
      </c>
      <c r="I132" s="32">
        <v>0</v>
      </c>
      <c r="J132" s="32">
        <v>0</v>
      </c>
      <c r="K132" s="24">
        <v>0</v>
      </c>
      <c r="L132" s="31">
        <v>0</v>
      </c>
      <c r="M132" s="32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2">
        <v>0</v>
      </c>
      <c r="T132" s="31">
        <v>0</v>
      </c>
      <c r="U132" s="31">
        <v>0</v>
      </c>
      <c r="V132" s="31">
        <v>0</v>
      </c>
      <c r="W132" s="32">
        <v>0</v>
      </c>
      <c r="X132" s="31">
        <v>0</v>
      </c>
      <c r="Y132" s="32">
        <v>0</v>
      </c>
      <c r="Z132" s="33">
        <v>0</v>
      </c>
      <c r="AA132" s="38">
        <f>AA135*9</f>
        <v>3728143547.322876</v>
      </c>
      <c r="AB132" s="26">
        <v>16</v>
      </c>
      <c r="AC132" s="26">
        <v>0</v>
      </c>
      <c r="AD132" s="26">
        <v>1</v>
      </c>
      <c r="AE132" s="26">
        <v>1</v>
      </c>
      <c r="AF132" s="26">
        <v>1</v>
      </c>
      <c r="AG132" s="26">
        <v>0</v>
      </c>
    </row>
    <row r="133" spans="1:35" ht="27.75" thickBot="1" x14ac:dyDescent="0.3">
      <c r="A133" s="62" t="s">
        <v>220</v>
      </c>
      <c r="B133" s="124" t="s">
        <v>234</v>
      </c>
      <c r="C133" s="125" t="s">
        <v>235</v>
      </c>
      <c r="D133" s="125" t="s">
        <v>236</v>
      </c>
      <c r="E133" s="65">
        <v>0</v>
      </c>
      <c r="F133" s="65">
        <v>1</v>
      </c>
      <c r="G133" s="65">
        <v>0</v>
      </c>
      <c r="H133" s="65">
        <v>0</v>
      </c>
      <c r="I133" s="66">
        <v>0</v>
      </c>
      <c r="J133" s="66">
        <v>0</v>
      </c>
      <c r="K133" s="24">
        <v>0</v>
      </c>
      <c r="L133" s="65">
        <v>0</v>
      </c>
      <c r="M133" s="66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6">
        <v>0</v>
      </c>
      <c r="T133" s="65">
        <v>0</v>
      </c>
      <c r="U133" s="65">
        <v>0</v>
      </c>
      <c r="V133" s="65">
        <v>0</v>
      </c>
      <c r="W133" s="66">
        <v>0</v>
      </c>
      <c r="X133" s="65">
        <v>0</v>
      </c>
      <c r="Y133" s="66">
        <v>0</v>
      </c>
      <c r="Z133" s="67">
        <v>0</v>
      </c>
      <c r="AA133" s="3"/>
      <c r="AB133" s="35">
        <v>8</v>
      </c>
      <c r="AC133" s="133">
        <v>0</v>
      </c>
      <c r="AD133" s="133">
        <v>1</v>
      </c>
      <c r="AE133" s="133">
        <v>1</v>
      </c>
      <c r="AF133" s="133">
        <v>0</v>
      </c>
      <c r="AG133" s="133">
        <v>0</v>
      </c>
    </row>
    <row r="134" spans="1:35" ht="15.75" thickBot="1" x14ac:dyDescent="0.3">
      <c r="A134" s="202" t="s">
        <v>94</v>
      </c>
      <c r="B134" s="203"/>
      <c r="C134" s="203"/>
      <c r="D134" s="204"/>
      <c r="E134" s="39">
        <f>SUM(E127:E133)</f>
        <v>0</v>
      </c>
      <c r="F134" s="40">
        <f t="shared" ref="F134:AG134" si="38">SUM(F127:F133)</f>
        <v>21</v>
      </c>
      <c r="G134" s="40">
        <f t="shared" si="38"/>
        <v>1</v>
      </c>
      <c r="H134" s="40">
        <f t="shared" si="38"/>
        <v>0</v>
      </c>
      <c r="I134" s="41">
        <f t="shared" si="38"/>
        <v>0</v>
      </c>
      <c r="J134" s="41">
        <f t="shared" si="38"/>
        <v>0</v>
      </c>
      <c r="K134" s="41"/>
      <c r="L134" s="40">
        <f t="shared" si="38"/>
        <v>0</v>
      </c>
      <c r="M134" s="41">
        <f t="shared" si="38"/>
        <v>0</v>
      </c>
      <c r="N134" s="40">
        <f t="shared" si="38"/>
        <v>0</v>
      </c>
      <c r="O134" s="40">
        <f t="shared" si="38"/>
        <v>0</v>
      </c>
      <c r="P134" s="40">
        <f t="shared" si="38"/>
        <v>0</v>
      </c>
      <c r="Q134" s="40">
        <f t="shared" si="38"/>
        <v>0</v>
      </c>
      <c r="R134" s="40">
        <f t="shared" si="38"/>
        <v>0</v>
      </c>
      <c r="S134" s="41">
        <f t="shared" si="38"/>
        <v>0</v>
      </c>
      <c r="T134" s="40">
        <f t="shared" si="38"/>
        <v>0</v>
      </c>
      <c r="U134" s="40">
        <f t="shared" si="38"/>
        <v>0</v>
      </c>
      <c r="V134" s="40">
        <f t="shared" si="38"/>
        <v>0</v>
      </c>
      <c r="W134" s="41">
        <f t="shared" si="38"/>
        <v>0</v>
      </c>
      <c r="X134" s="40">
        <f t="shared" si="38"/>
        <v>0</v>
      </c>
      <c r="Y134" s="41">
        <f t="shared" si="38"/>
        <v>0</v>
      </c>
      <c r="Z134" s="42">
        <f t="shared" si="38"/>
        <v>0</v>
      </c>
      <c r="AA134" s="43">
        <f>SUM(E134:Z134)</f>
        <v>22</v>
      </c>
      <c r="AB134" s="134">
        <f t="shared" si="38"/>
        <v>95</v>
      </c>
      <c r="AC134" s="134">
        <f t="shared" si="38"/>
        <v>8</v>
      </c>
      <c r="AD134" s="135">
        <f t="shared" si="38"/>
        <v>6</v>
      </c>
      <c r="AE134" s="135">
        <f t="shared" si="38"/>
        <v>6</v>
      </c>
      <c r="AF134" s="135">
        <f t="shared" si="38"/>
        <v>4</v>
      </c>
      <c r="AG134" s="136">
        <f t="shared" si="38"/>
        <v>7</v>
      </c>
    </row>
    <row r="135" spans="1:35" ht="15.75" thickBot="1" x14ac:dyDescent="0.3">
      <c r="A135" s="207" t="s">
        <v>237</v>
      </c>
      <c r="B135" s="208"/>
      <c r="C135" s="208"/>
      <c r="D135" s="208"/>
      <c r="E135" s="137">
        <f t="shared" ref="E135:J135" si="39">E134*E5</f>
        <v>0</v>
      </c>
      <c r="F135" s="137">
        <f t="shared" si="39"/>
        <v>395409164.11000198</v>
      </c>
      <c r="G135" s="137">
        <f t="shared" si="39"/>
        <v>18829007.814762</v>
      </c>
      <c r="H135" s="137">
        <f t="shared" si="39"/>
        <v>0</v>
      </c>
      <c r="I135" s="138">
        <f t="shared" si="39"/>
        <v>0</v>
      </c>
      <c r="J135" s="138">
        <f t="shared" si="39"/>
        <v>0</v>
      </c>
      <c r="K135" s="138"/>
      <c r="L135" s="137">
        <f>L134*L5</f>
        <v>0</v>
      </c>
      <c r="M135" s="138">
        <f>M134*M5</f>
        <v>0</v>
      </c>
      <c r="N135" s="137">
        <f t="shared" ref="N135:Z135" si="40">N134*N5</f>
        <v>0</v>
      </c>
      <c r="O135" s="137">
        <f t="shared" si="40"/>
        <v>0</v>
      </c>
      <c r="P135" s="137">
        <f t="shared" si="40"/>
        <v>0</v>
      </c>
      <c r="Q135" s="137">
        <f t="shared" si="40"/>
        <v>0</v>
      </c>
      <c r="R135" s="137">
        <f t="shared" si="40"/>
        <v>0</v>
      </c>
      <c r="S135" s="138">
        <f t="shared" si="40"/>
        <v>0</v>
      </c>
      <c r="T135" s="137">
        <f t="shared" si="40"/>
        <v>0</v>
      </c>
      <c r="U135" s="137">
        <f t="shared" si="40"/>
        <v>0</v>
      </c>
      <c r="V135" s="137">
        <f t="shared" si="40"/>
        <v>0</v>
      </c>
      <c r="W135" s="138">
        <f t="shared" si="40"/>
        <v>0</v>
      </c>
      <c r="X135" s="137">
        <f t="shared" si="40"/>
        <v>0</v>
      </c>
      <c r="Y135" s="138">
        <f t="shared" si="40"/>
        <v>0</v>
      </c>
      <c r="Z135" s="139">
        <f t="shared" si="40"/>
        <v>0</v>
      </c>
      <c r="AA135" s="57">
        <f>SUM(E135:Z135)</f>
        <v>414238171.92476398</v>
      </c>
      <c r="AB135" s="140">
        <f t="shared" ref="AB135:AG135" si="41">AB134*AB5</f>
        <v>2869623.5166666671</v>
      </c>
      <c r="AC135" s="140">
        <f t="shared" si="41"/>
        <v>939297.14666666673</v>
      </c>
      <c r="AD135" s="141">
        <f t="shared" si="41"/>
        <v>902453.15999999992</v>
      </c>
      <c r="AE135" s="141">
        <f t="shared" si="41"/>
        <v>655285.4</v>
      </c>
      <c r="AF135" s="141">
        <f t="shared" si="41"/>
        <v>1377578.9066666665</v>
      </c>
      <c r="AG135" s="142">
        <f t="shared" si="41"/>
        <v>811242.04</v>
      </c>
    </row>
    <row r="136" spans="1:35" ht="17.25" thickBot="1" x14ac:dyDescent="0.3">
      <c r="A136" s="219" t="s">
        <v>238</v>
      </c>
      <c r="B136" s="220"/>
      <c r="C136" s="220"/>
      <c r="D136" s="220"/>
      <c r="E136" s="143">
        <f t="shared" ref="E136:Z136" si="42">+E33+E48+E70+E80+E96+E112+E123+E134</f>
        <v>8</v>
      </c>
      <c r="F136" s="143">
        <f t="shared" si="42"/>
        <v>233</v>
      </c>
      <c r="G136" s="143">
        <f t="shared" si="42"/>
        <v>12</v>
      </c>
      <c r="H136" s="143">
        <f t="shared" si="42"/>
        <v>2</v>
      </c>
      <c r="I136" s="144">
        <f t="shared" si="42"/>
        <v>0</v>
      </c>
      <c r="J136" s="144">
        <f t="shared" si="42"/>
        <v>0</v>
      </c>
      <c r="K136" s="144">
        <f t="shared" si="42"/>
        <v>0</v>
      </c>
      <c r="L136" s="143">
        <f t="shared" si="42"/>
        <v>5</v>
      </c>
      <c r="M136" s="144">
        <f t="shared" si="42"/>
        <v>0</v>
      </c>
      <c r="N136" s="143">
        <f t="shared" si="42"/>
        <v>11</v>
      </c>
      <c r="O136" s="143">
        <f t="shared" si="42"/>
        <v>4</v>
      </c>
      <c r="P136" s="143">
        <f t="shared" si="42"/>
        <v>3</v>
      </c>
      <c r="Q136" s="143">
        <f t="shared" si="42"/>
        <v>7</v>
      </c>
      <c r="R136" s="143">
        <f t="shared" si="42"/>
        <v>3</v>
      </c>
      <c r="S136" s="144">
        <f t="shared" si="42"/>
        <v>0</v>
      </c>
      <c r="T136" s="143">
        <f t="shared" si="42"/>
        <v>4</v>
      </c>
      <c r="U136" s="143">
        <f t="shared" si="42"/>
        <v>1</v>
      </c>
      <c r="V136" s="143">
        <f t="shared" si="42"/>
        <v>1</v>
      </c>
      <c r="W136" s="144">
        <f t="shared" si="42"/>
        <v>0</v>
      </c>
      <c r="X136" s="143">
        <f t="shared" si="42"/>
        <v>1</v>
      </c>
      <c r="Y136" s="144">
        <f t="shared" si="42"/>
        <v>0</v>
      </c>
      <c r="Z136" s="145">
        <f t="shared" si="42"/>
        <v>0</v>
      </c>
      <c r="AA136" s="146"/>
      <c r="AB136" s="143">
        <f t="shared" ref="AB136:AG136" si="43">+AB33+AB48+AB70+AB80+AB96+AB112+AB123+AB134</f>
        <v>1222</v>
      </c>
      <c r="AC136" s="143">
        <f t="shared" si="43"/>
        <v>109</v>
      </c>
      <c r="AD136" s="143">
        <f t="shared" si="43"/>
        <v>90</v>
      </c>
      <c r="AE136" s="143">
        <f t="shared" si="43"/>
        <v>86</v>
      </c>
      <c r="AF136" s="143">
        <f t="shared" si="43"/>
        <v>41</v>
      </c>
      <c r="AG136" s="147">
        <f t="shared" si="43"/>
        <v>127</v>
      </c>
    </row>
    <row r="137" spans="1:35" s="75" customFormat="1" ht="15.75" thickBot="1" x14ac:dyDescent="0.3">
      <c r="A137" s="221" t="s">
        <v>239</v>
      </c>
      <c r="B137" s="222"/>
      <c r="C137" s="222"/>
      <c r="D137" s="222"/>
      <c r="E137" s="148">
        <f t="shared" ref="E137:Z137" si="44">+E136*(E2+E3)</f>
        <v>150560888.27999997</v>
      </c>
      <c r="F137" s="148">
        <f t="shared" si="44"/>
        <v>4305357037.1339998</v>
      </c>
      <c r="G137" s="148">
        <f t="shared" si="44"/>
        <v>221735126.37599999</v>
      </c>
      <c r="H137" s="148">
        <f t="shared" si="44"/>
        <v>37982405.906999998</v>
      </c>
      <c r="I137" s="148">
        <f>+I136*(O2+I3)</f>
        <v>0</v>
      </c>
      <c r="J137" s="148">
        <f t="shared" si="44"/>
        <v>0</v>
      </c>
      <c r="K137" s="148">
        <f t="shared" si="44"/>
        <v>0</v>
      </c>
      <c r="L137" s="148">
        <f t="shared" si="44"/>
        <v>57174066.3737389</v>
      </c>
      <c r="M137" s="148">
        <f t="shared" si="44"/>
        <v>0</v>
      </c>
      <c r="N137" s="148">
        <f t="shared" si="44"/>
        <v>100626356.81778046</v>
      </c>
      <c r="O137" s="148">
        <f t="shared" si="44"/>
        <v>32468845.1207195</v>
      </c>
      <c r="P137" s="148">
        <f t="shared" si="44"/>
        <v>16234422.56035975</v>
      </c>
      <c r="Q137" s="148">
        <f t="shared" si="44"/>
        <v>45456383.169007301</v>
      </c>
      <c r="R137" s="148">
        <f t="shared" si="44"/>
        <v>31082147.753460366</v>
      </c>
      <c r="S137" s="148">
        <f t="shared" si="44"/>
        <v>0</v>
      </c>
      <c r="T137" s="148">
        <f t="shared" si="44"/>
        <v>42210324.109637536</v>
      </c>
      <c r="U137" s="148">
        <f t="shared" si="44"/>
        <v>7173541.9588680007</v>
      </c>
      <c r="V137" s="148">
        <f t="shared" si="44"/>
        <v>7043113.9232522184</v>
      </c>
      <c r="W137" s="148">
        <f t="shared" si="44"/>
        <v>0</v>
      </c>
      <c r="X137" s="148">
        <f t="shared" si="44"/>
        <v>4329179.3494292665</v>
      </c>
      <c r="Y137" s="148">
        <f t="shared" si="44"/>
        <v>0</v>
      </c>
      <c r="Z137" s="148">
        <f t="shared" si="44"/>
        <v>0</v>
      </c>
      <c r="AA137" s="149"/>
      <c r="AB137" s="148">
        <f>+AB136*(AB2+AB3)</f>
        <v>31018840.666666668</v>
      </c>
      <c r="AC137" s="148">
        <f t="shared" ref="AC137:AG137" si="45">+AC136*(AC2+AC3)</f>
        <v>10754557.666666668</v>
      </c>
      <c r="AD137" s="148">
        <f t="shared" si="45"/>
        <v>11375460</v>
      </c>
      <c r="AE137" s="148">
        <f t="shared" si="45"/>
        <v>7892793.333333334</v>
      </c>
      <c r="AF137" s="148">
        <f t="shared" si="45"/>
        <v>11865700.666666666</v>
      </c>
      <c r="AG137" s="148">
        <f t="shared" si="45"/>
        <v>12368276</v>
      </c>
      <c r="AH137" s="150"/>
      <c r="AI137" s="76"/>
    </row>
    <row r="138" spans="1:35" s="75" customFormat="1" ht="15.75" thickBot="1" x14ac:dyDescent="0.3">
      <c r="A138" s="223" t="s">
        <v>240</v>
      </c>
      <c r="B138" s="224"/>
      <c r="C138" s="224"/>
      <c r="D138" s="224"/>
      <c r="E138" s="151">
        <f t="shared" ref="E138:Z138" si="46">+ROUND(((E33+E48+E70+E80+E96+E112+E134)*E4),0)</f>
        <v>2860657</v>
      </c>
      <c r="F138" s="151">
        <f t="shared" si="46"/>
        <v>80046381</v>
      </c>
      <c r="G138" s="151">
        <f t="shared" si="46"/>
        <v>4212967</v>
      </c>
      <c r="H138" s="151">
        <f t="shared" si="46"/>
        <v>721666</v>
      </c>
      <c r="I138" s="151">
        <f t="shared" si="46"/>
        <v>0</v>
      </c>
      <c r="J138" s="151">
        <f t="shared" si="46"/>
        <v>0</v>
      </c>
      <c r="K138" s="151">
        <f t="shared" si="46"/>
        <v>0</v>
      </c>
      <c r="L138" s="151">
        <f t="shared" si="46"/>
        <v>1086307</v>
      </c>
      <c r="M138" s="151">
        <f t="shared" si="46"/>
        <v>0</v>
      </c>
      <c r="N138" s="151">
        <f t="shared" si="46"/>
        <v>1564282</v>
      </c>
      <c r="O138" s="151">
        <f t="shared" si="46"/>
        <v>616908</v>
      </c>
      <c r="P138" s="151">
        <f t="shared" si="46"/>
        <v>308454</v>
      </c>
      <c r="Q138" s="151">
        <f t="shared" si="46"/>
        <v>863671</v>
      </c>
      <c r="R138" s="151">
        <f t="shared" si="46"/>
        <v>590561</v>
      </c>
      <c r="S138" s="151">
        <f t="shared" si="46"/>
        <v>0</v>
      </c>
      <c r="T138" s="151">
        <f t="shared" si="46"/>
        <v>801996</v>
      </c>
      <c r="U138" s="151">
        <f t="shared" si="46"/>
        <v>136297</v>
      </c>
      <c r="V138" s="151">
        <f t="shared" si="46"/>
        <v>133819</v>
      </c>
      <c r="W138" s="151">
        <f t="shared" si="46"/>
        <v>0</v>
      </c>
      <c r="X138" s="151">
        <f t="shared" si="46"/>
        <v>0</v>
      </c>
      <c r="Y138" s="151">
        <f t="shared" si="46"/>
        <v>0</v>
      </c>
      <c r="Z138" s="151">
        <f t="shared" si="46"/>
        <v>0</v>
      </c>
      <c r="AA138" s="149"/>
      <c r="AB138" s="151">
        <f>+ROUND(((AB33+AB48+AB70+AB80+AB96+AB112+AB134)*AB4),0)</f>
        <v>5647612</v>
      </c>
      <c r="AC138" s="151">
        <f t="shared" ref="AC138:AG138" si="47">+ROUND(((AC33+AC48+AC70+AC80+AC96+AC112+AC134)*AC4),0)</f>
        <v>1893394</v>
      </c>
      <c r="AD138" s="151">
        <f t="shared" si="47"/>
        <v>2041263</v>
      </c>
      <c r="AE138" s="151">
        <f t="shared" si="47"/>
        <v>1429880</v>
      </c>
      <c r="AF138" s="151">
        <f t="shared" si="47"/>
        <v>2144508</v>
      </c>
      <c r="AG138" s="151">
        <f t="shared" si="47"/>
        <v>2183439</v>
      </c>
      <c r="AH138" s="150"/>
      <c r="AI138" s="76"/>
    </row>
    <row r="139" spans="1:35" s="75" customFormat="1" ht="15.75" thickBot="1" x14ac:dyDescent="0.3">
      <c r="A139" s="225" t="s">
        <v>241</v>
      </c>
      <c r="B139" s="226"/>
      <c r="C139" s="226"/>
      <c r="D139" s="226"/>
      <c r="E139" s="152">
        <f>+E137+E138</f>
        <v>153421545.27999997</v>
      </c>
      <c r="F139" s="152">
        <f t="shared" ref="F139:Z139" si="48">+F137+F138</f>
        <v>4385403418.1339998</v>
      </c>
      <c r="G139" s="152">
        <f t="shared" si="48"/>
        <v>225948093.37599999</v>
      </c>
      <c r="H139" s="152">
        <f t="shared" si="48"/>
        <v>38704071.906999998</v>
      </c>
      <c r="I139" s="152">
        <f t="shared" si="48"/>
        <v>0</v>
      </c>
      <c r="J139" s="152">
        <f t="shared" si="48"/>
        <v>0</v>
      </c>
      <c r="K139" s="152">
        <f t="shared" si="48"/>
        <v>0</v>
      </c>
      <c r="L139" s="152">
        <f t="shared" si="48"/>
        <v>58260373.3737389</v>
      </c>
      <c r="M139" s="152">
        <f t="shared" si="48"/>
        <v>0</v>
      </c>
      <c r="N139" s="152">
        <f t="shared" si="48"/>
        <v>102190638.81778046</v>
      </c>
      <c r="O139" s="152">
        <f t="shared" si="48"/>
        <v>33085753.1207195</v>
      </c>
      <c r="P139" s="152">
        <f t="shared" si="48"/>
        <v>16542876.56035975</v>
      </c>
      <c r="Q139" s="152">
        <f t="shared" si="48"/>
        <v>46320054.169007301</v>
      </c>
      <c r="R139" s="152">
        <f t="shared" si="48"/>
        <v>31672708.753460366</v>
      </c>
      <c r="S139" s="152">
        <f t="shared" si="48"/>
        <v>0</v>
      </c>
      <c r="T139" s="152">
        <f t="shared" si="48"/>
        <v>43012320.109637536</v>
      </c>
      <c r="U139" s="152">
        <f t="shared" si="48"/>
        <v>7309838.9588680007</v>
      </c>
      <c r="V139" s="152">
        <f t="shared" si="48"/>
        <v>7176932.9232522184</v>
      </c>
      <c r="W139" s="152">
        <f t="shared" si="48"/>
        <v>0</v>
      </c>
      <c r="X139" s="152">
        <f t="shared" si="48"/>
        <v>4329179.3494292665</v>
      </c>
      <c r="Y139" s="152">
        <f t="shared" si="48"/>
        <v>0</v>
      </c>
      <c r="Z139" s="152">
        <f t="shared" si="48"/>
        <v>0</v>
      </c>
      <c r="AA139" s="149">
        <f>SUM(E139:Z139)</f>
        <v>5153377804.8332529</v>
      </c>
      <c r="AB139" s="152">
        <f>+AB137+AB138</f>
        <v>36666452.666666672</v>
      </c>
      <c r="AC139" s="152">
        <f t="shared" ref="AC139:AG139" si="49">+AC137+AC138</f>
        <v>12647951.666666668</v>
      </c>
      <c r="AD139" s="152">
        <f t="shared" si="49"/>
        <v>13416723</v>
      </c>
      <c r="AE139" s="152">
        <f t="shared" si="49"/>
        <v>9322673.333333334</v>
      </c>
      <c r="AF139" s="152">
        <f t="shared" si="49"/>
        <v>14010208.666666666</v>
      </c>
      <c r="AG139" s="152">
        <f t="shared" si="49"/>
        <v>14551715</v>
      </c>
      <c r="AH139" s="153">
        <f>SUM(AB139:AG139)</f>
        <v>100615724.33333334</v>
      </c>
      <c r="AI139" s="76"/>
    </row>
    <row r="140" spans="1:35" s="75" customFormat="1" x14ac:dyDescent="0.25">
      <c r="A140" s="154"/>
      <c r="B140" s="154"/>
      <c r="C140" s="154"/>
      <c r="D140" s="154"/>
      <c r="E140" s="155"/>
      <c r="F140" s="155"/>
      <c r="G140" s="155"/>
      <c r="H140" s="155"/>
      <c r="I140" s="156"/>
      <c r="J140" s="156"/>
      <c r="K140" s="156"/>
      <c r="L140" s="155"/>
      <c r="M140" s="156"/>
      <c r="N140" s="155"/>
      <c r="O140" s="155"/>
      <c r="P140" s="155"/>
      <c r="Q140" s="155"/>
      <c r="R140" s="155"/>
      <c r="S140" s="156"/>
      <c r="T140" s="155"/>
      <c r="U140" s="155"/>
      <c r="V140" s="155"/>
      <c r="W140" s="156"/>
      <c r="X140" s="155"/>
      <c r="Y140" s="156"/>
      <c r="Z140" s="156"/>
      <c r="AA140" s="157"/>
      <c r="AB140" s="155"/>
      <c r="AC140" s="155"/>
      <c r="AD140" s="155"/>
      <c r="AE140" s="155"/>
      <c r="AF140" s="155"/>
      <c r="AG140" s="155"/>
      <c r="AI140" s="76"/>
    </row>
    <row r="141" spans="1:35" ht="16.5" thickBot="1" x14ac:dyDescent="0.3">
      <c r="A141" s="227" t="s">
        <v>242</v>
      </c>
      <c r="B141" s="227"/>
      <c r="C141" s="227"/>
      <c r="D141" s="227"/>
      <c r="F141" s="158"/>
      <c r="G141" s="158"/>
      <c r="H141" s="158"/>
      <c r="I141" s="159"/>
      <c r="J141" s="159"/>
      <c r="K141" s="159"/>
      <c r="L141" s="158"/>
      <c r="M141" s="159"/>
      <c r="N141" s="158"/>
      <c r="O141" s="158"/>
      <c r="P141" s="158"/>
      <c r="Q141" s="158"/>
      <c r="R141" s="158"/>
      <c r="S141" s="159"/>
      <c r="T141" s="158"/>
      <c r="U141" s="158"/>
      <c r="V141" s="158"/>
      <c r="W141" s="159"/>
      <c r="X141" s="158"/>
      <c r="AA141" s="161"/>
    </row>
    <row r="142" spans="1:35" ht="108.75" thickBot="1" x14ac:dyDescent="0.3">
      <c r="A142" s="7" t="s">
        <v>5</v>
      </c>
      <c r="B142" s="8" t="s">
        <v>6</v>
      </c>
      <c r="C142" s="7" t="s">
        <v>7</v>
      </c>
      <c r="D142" s="9" t="s">
        <v>8</v>
      </c>
      <c r="E142" s="162" t="s">
        <v>9</v>
      </c>
      <c r="F142" s="13" t="s">
        <v>10</v>
      </c>
      <c r="G142" s="13" t="s">
        <v>11</v>
      </c>
      <c r="H142" s="13" t="s">
        <v>12</v>
      </c>
      <c r="I142" s="13" t="s">
        <v>13</v>
      </c>
      <c r="J142" s="13" t="s">
        <v>14</v>
      </c>
      <c r="K142" s="13" t="s">
        <v>15</v>
      </c>
      <c r="L142" s="13" t="s">
        <v>16</v>
      </c>
      <c r="M142" s="13" t="s">
        <v>17</v>
      </c>
      <c r="N142" s="13" t="s">
        <v>18</v>
      </c>
      <c r="O142" s="13" t="s">
        <v>19</v>
      </c>
      <c r="P142" s="13" t="s">
        <v>20</v>
      </c>
      <c r="Q142" s="13" t="s">
        <v>21</v>
      </c>
      <c r="R142" s="13" t="s">
        <v>22</v>
      </c>
      <c r="S142" s="13" t="s">
        <v>23</v>
      </c>
      <c r="T142" s="163" t="s">
        <v>24</v>
      </c>
      <c r="U142" s="163" t="s">
        <v>25</v>
      </c>
      <c r="V142" s="13" t="s">
        <v>26</v>
      </c>
      <c r="W142" s="13" t="s">
        <v>27</v>
      </c>
      <c r="X142" s="13" t="s">
        <v>28</v>
      </c>
      <c r="Y142" s="13" t="s">
        <v>29</v>
      </c>
      <c r="Z142" s="13" t="s">
        <v>30</v>
      </c>
      <c r="AA142" s="3"/>
      <c r="AB142" s="16" t="s">
        <v>31</v>
      </c>
      <c r="AC142" s="17" t="s">
        <v>32</v>
      </c>
      <c r="AD142" s="18" t="s">
        <v>33</v>
      </c>
      <c r="AE142" s="18" t="s">
        <v>34</v>
      </c>
      <c r="AF142" s="18" t="s">
        <v>35</v>
      </c>
      <c r="AG142" s="19" t="s">
        <v>36</v>
      </c>
    </row>
    <row r="143" spans="1:35" x14ac:dyDescent="0.25">
      <c r="A143" s="28" t="s">
        <v>97</v>
      </c>
      <c r="B143" s="164" t="s">
        <v>101</v>
      </c>
      <c r="C143" s="30" t="s">
        <v>243</v>
      </c>
      <c r="D143" s="30" t="s">
        <v>243</v>
      </c>
      <c r="E143" s="165">
        <v>0</v>
      </c>
      <c r="F143" s="166">
        <v>3</v>
      </c>
      <c r="G143" s="166">
        <v>0</v>
      </c>
      <c r="H143" s="166">
        <v>0</v>
      </c>
      <c r="I143" s="166">
        <v>0</v>
      </c>
      <c r="J143" s="166">
        <v>0</v>
      </c>
      <c r="K143" s="166">
        <v>0</v>
      </c>
      <c r="L143" s="166">
        <v>0</v>
      </c>
      <c r="M143" s="166">
        <v>0</v>
      </c>
      <c r="N143" s="166">
        <v>0</v>
      </c>
      <c r="O143" s="166">
        <v>0</v>
      </c>
      <c r="P143" s="166">
        <v>0</v>
      </c>
      <c r="Q143" s="166">
        <v>0</v>
      </c>
      <c r="R143" s="166">
        <v>0</v>
      </c>
      <c r="S143" s="166">
        <v>0</v>
      </c>
      <c r="T143" s="165">
        <v>0</v>
      </c>
      <c r="U143" s="165">
        <v>0</v>
      </c>
      <c r="V143" s="166">
        <v>0</v>
      </c>
      <c r="W143" s="166">
        <v>0</v>
      </c>
      <c r="X143" s="166">
        <v>0</v>
      </c>
      <c r="Y143" s="166">
        <v>0</v>
      </c>
      <c r="Z143" s="166">
        <v>0</v>
      </c>
      <c r="AA143" s="167"/>
      <c r="AB143" s="166">
        <v>0</v>
      </c>
      <c r="AC143" s="166">
        <v>0</v>
      </c>
      <c r="AD143" s="166">
        <v>0</v>
      </c>
      <c r="AE143" s="166">
        <v>0</v>
      </c>
      <c r="AF143" s="166">
        <v>0</v>
      </c>
      <c r="AG143" s="166">
        <v>0</v>
      </c>
    </row>
    <row r="144" spans="1:35" ht="27" x14ac:dyDescent="0.25">
      <c r="A144" s="28" t="s">
        <v>188</v>
      </c>
      <c r="B144" s="164" t="s">
        <v>193</v>
      </c>
      <c r="C144" s="30" t="s">
        <v>195</v>
      </c>
      <c r="D144" s="30" t="s">
        <v>196</v>
      </c>
      <c r="E144" s="165">
        <v>0</v>
      </c>
      <c r="F144" s="166">
        <v>1</v>
      </c>
      <c r="G144" s="166">
        <v>0</v>
      </c>
      <c r="H144" s="166">
        <v>0</v>
      </c>
      <c r="I144" s="166">
        <v>0</v>
      </c>
      <c r="J144" s="166">
        <v>0</v>
      </c>
      <c r="K144" s="166">
        <v>0</v>
      </c>
      <c r="L144" s="166">
        <v>0</v>
      </c>
      <c r="M144" s="166">
        <v>0</v>
      </c>
      <c r="N144" s="166">
        <v>0</v>
      </c>
      <c r="O144" s="166">
        <v>0</v>
      </c>
      <c r="P144" s="166">
        <v>0</v>
      </c>
      <c r="Q144" s="166">
        <v>0</v>
      </c>
      <c r="R144" s="166">
        <v>0</v>
      </c>
      <c r="S144" s="166">
        <v>0</v>
      </c>
      <c r="T144" s="165">
        <v>0</v>
      </c>
      <c r="U144" s="165">
        <v>0</v>
      </c>
      <c r="V144" s="166">
        <v>0</v>
      </c>
      <c r="W144" s="166">
        <v>0</v>
      </c>
      <c r="X144" s="166">
        <v>0</v>
      </c>
      <c r="Y144" s="166">
        <v>0</v>
      </c>
      <c r="Z144" s="166">
        <v>0</v>
      </c>
      <c r="AA144" s="167"/>
      <c r="AB144" s="166">
        <v>0</v>
      </c>
      <c r="AC144" s="166">
        <v>0</v>
      </c>
      <c r="AD144" s="166">
        <v>0</v>
      </c>
      <c r="AE144" s="166">
        <v>0</v>
      </c>
      <c r="AF144" s="166">
        <v>0</v>
      </c>
      <c r="AG144" s="166">
        <v>0</v>
      </c>
    </row>
    <row r="145" spans="1:34" x14ac:dyDescent="0.25">
      <c r="A145" s="123"/>
      <c r="B145" s="168"/>
      <c r="C145" s="123"/>
      <c r="D145" s="123"/>
      <c r="E145" s="165">
        <v>0</v>
      </c>
      <c r="F145" s="166">
        <v>0</v>
      </c>
      <c r="G145" s="166">
        <v>0</v>
      </c>
      <c r="H145" s="166">
        <v>0</v>
      </c>
      <c r="I145" s="166">
        <v>0</v>
      </c>
      <c r="J145" s="166">
        <v>0</v>
      </c>
      <c r="K145" s="166">
        <v>0</v>
      </c>
      <c r="L145" s="166">
        <v>0</v>
      </c>
      <c r="M145" s="166">
        <v>0</v>
      </c>
      <c r="N145" s="166">
        <v>0</v>
      </c>
      <c r="O145" s="166">
        <v>0</v>
      </c>
      <c r="P145" s="166">
        <v>0</v>
      </c>
      <c r="Q145" s="166">
        <v>0</v>
      </c>
      <c r="R145" s="166">
        <v>0</v>
      </c>
      <c r="S145" s="166">
        <v>0</v>
      </c>
      <c r="T145" s="165">
        <v>0</v>
      </c>
      <c r="U145" s="165">
        <v>0</v>
      </c>
      <c r="V145" s="166">
        <v>0</v>
      </c>
      <c r="W145" s="166">
        <v>0</v>
      </c>
      <c r="X145" s="166">
        <v>0</v>
      </c>
      <c r="Y145" s="166">
        <v>0</v>
      </c>
      <c r="Z145" s="166">
        <v>0</v>
      </c>
      <c r="AA145" s="169">
        <f>+AA149*9</f>
        <v>677844281.33143198</v>
      </c>
      <c r="AB145" s="166">
        <v>0</v>
      </c>
      <c r="AC145" s="166">
        <v>0</v>
      </c>
      <c r="AD145" s="166">
        <v>0</v>
      </c>
      <c r="AE145" s="166">
        <v>0</v>
      </c>
      <c r="AF145" s="166">
        <v>0</v>
      </c>
      <c r="AG145" s="166">
        <v>0</v>
      </c>
    </row>
    <row r="146" spans="1:34" x14ac:dyDescent="0.25">
      <c r="A146" s="123"/>
      <c r="B146" s="168"/>
      <c r="C146" s="123"/>
      <c r="D146" s="123"/>
      <c r="E146" s="165">
        <v>0</v>
      </c>
      <c r="F146" s="166">
        <v>0</v>
      </c>
      <c r="G146" s="166">
        <v>0</v>
      </c>
      <c r="H146" s="166">
        <v>0</v>
      </c>
      <c r="I146" s="166">
        <v>0</v>
      </c>
      <c r="J146" s="166">
        <v>0</v>
      </c>
      <c r="K146" s="166">
        <v>0</v>
      </c>
      <c r="L146" s="166">
        <v>0</v>
      </c>
      <c r="M146" s="166">
        <v>0</v>
      </c>
      <c r="N146" s="166">
        <v>0</v>
      </c>
      <c r="O146" s="166">
        <v>0</v>
      </c>
      <c r="P146" s="166">
        <v>0</v>
      </c>
      <c r="Q146" s="166">
        <v>0</v>
      </c>
      <c r="R146" s="166">
        <v>0</v>
      </c>
      <c r="S146" s="166">
        <v>0</v>
      </c>
      <c r="T146" s="165">
        <v>0</v>
      </c>
      <c r="U146" s="165">
        <v>0</v>
      </c>
      <c r="V146" s="166">
        <v>0</v>
      </c>
      <c r="W146" s="166">
        <v>0</v>
      </c>
      <c r="X146" s="166">
        <v>0</v>
      </c>
      <c r="Y146" s="166">
        <v>0</v>
      </c>
      <c r="Z146" s="166">
        <v>0</v>
      </c>
      <c r="AA146" s="167"/>
      <c r="AB146" s="166">
        <v>0</v>
      </c>
      <c r="AC146" s="166">
        <v>0</v>
      </c>
      <c r="AD146" s="166">
        <v>0</v>
      </c>
      <c r="AE146" s="166">
        <v>0</v>
      </c>
      <c r="AF146" s="166">
        <v>0</v>
      </c>
      <c r="AG146" s="166">
        <v>0</v>
      </c>
    </row>
    <row r="147" spans="1:34" x14ac:dyDescent="0.25">
      <c r="A147" s="170"/>
      <c r="B147" s="171"/>
      <c r="C147" s="171"/>
      <c r="D147" s="171"/>
      <c r="E147" s="165">
        <v>0</v>
      </c>
      <c r="F147" s="166">
        <v>0</v>
      </c>
      <c r="G147" s="166">
        <v>0</v>
      </c>
      <c r="H147" s="166">
        <v>0</v>
      </c>
      <c r="I147" s="166">
        <v>0</v>
      </c>
      <c r="J147" s="166">
        <v>0</v>
      </c>
      <c r="K147" s="166">
        <v>0</v>
      </c>
      <c r="L147" s="166">
        <v>0</v>
      </c>
      <c r="M147" s="166">
        <v>0</v>
      </c>
      <c r="N147" s="166">
        <v>0</v>
      </c>
      <c r="O147" s="166">
        <v>0</v>
      </c>
      <c r="P147" s="166">
        <v>0</v>
      </c>
      <c r="Q147" s="166">
        <v>0</v>
      </c>
      <c r="R147" s="166">
        <v>0</v>
      </c>
      <c r="S147" s="166">
        <v>0</v>
      </c>
      <c r="T147" s="165">
        <v>0</v>
      </c>
      <c r="U147" s="165">
        <v>0</v>
      </c>
      <c r="V147" s="166">
        <v>0</v>
      </c>
      <c r="W147" s="166">
        <v>0</v>
      </c>
      <c r="X147" s="166">
        <v>0</v>
      </c>
      <c r="Y147" s="166">
        <v>0</v>
      </c>
      <c r="Z147" s="166">
        <v>0</v>
      </c>
      <c r="AA147" s="172"/>
      <c r="AB147" s="166">
        <v>0</v>
      </c>
      <c r="AC147" s="166">
        <v>0</v>
      </c>
      <c r="AD147" s="166">
        <v>0</v>
      </c>
      <c r="AE147" s="166">
        <v>0</v>
      </c>
      <c r="AF147" s="166">
        <v>0</v>
      </c>
      <c r="AG147" s="166">
        <v>0</v>
      </c>
    </row>
    <row r="148" spans="1:34" x14ac:dyDescent="0.25">
      <c r="A148" s="209" t="s">
        <v>244</v>
      </c>
      <c r="B148" s="210"/>
      <c r="C148" s="210"/>
      <c r="D148" s="211"/>
      <c r="E148" s="173">
        <f>+E143+E144+E145+E146+E147</f>
        <v>0</v>
      </c>
      <c r="F148" s="173">
        <f t="shared" ref="F148:X148" si="50">+F143+F144+F145+F146+F147</f>
        <v>4</v>
      </c>
      <c r="G148" s="173">
        <f t="shared" si="50"/>
        <v>0</v>
      </c>
      <c r="H148" s="173">
        <f t="shared" si="50"/>
        <v>0</v>
      </c>
      <c r="I148" s="173">
        <f t="shared" si="50"/>
        <v>0</v>
      </c>
      <c r="J148" s="173">
        <f t="shared" si="50"/>
        <v>0</v>
      </c>
      <c r="K148" s="173">
        <f t="shared" si="50"/>
        <v>0</v>
      </c>
      <c r="L148" s="173">
        <f t="shared" si="50"/>
        <v>0</v>
      </c>
      <c r="M148" s="173">
        <f t="shared" si="50"/>
        <v>0</v>
      </c>
      <c r="N148" s="173">
        <f t="shared" si="50"/>
        <v>0</v>
      </c>
      <c r="O148" s="173">
        <f t="shared" si="50"/>
        <v>0</v>
      </c>
      <c r="P148" s="173">
        <f t="shared" si="50"/>
        <v>0</v>
      </c>
      <c r="Q148" s="173">
        <f t="shared" si="50"/>
        <v>0</v>
      </c>
      <c r="R148" s="173">
        <f t="shared" si="50"/>
        <v>0</v>
      </c>
      <c r="S148" s="173">
        <f t="shared" si="50"/>
        <v>0</v>
      </c>
      <c r="T148" s="173">
        <f t="shared" si="50"/>
        <v>0</v>
      </c>
      <c r="U148" s="173">
        <f t="shared" si="50"/>
        <v>0</v>
      </c>
      <c r="V148" s="173">
        <f t="shared" si="50"/>
        <v>0</v>
      </c>
      <c r="W148" s="173">
        <f t="shared" si="50"/>
        <v>0</v>
      </c>
      <c r="X148" s="173">
        <f t="shared" si="50"/>
        <v>0</v>
      </c>
      <c r="Y148" s="173">
        <f t="shared" ref="Y148" si="51">SUM(Y141:Y147)</f>
        <v>0</v>
      </c>
      <c r="Z148" s="173">
        <f t="shared" ref="Z148" si="52">SUM(Z141:Z147)</f>
        <v>0</v>
      </c>
      <c r="AA148" s="174">
        <f>SUM(E148:Z148)</f>
        <v>4</v>
      </c>
      <c r="AB148" s="173">
        <f>+AB143+AB144+AB145+AB146+AB147</f>
        <v>0</v>
      </c>
      <c r="AC148" s="173">
        <f>+AC143+AC144+AC145+AC146+AC147</f>
        <v>0</v>
      </c>
      <c r="AD148" s="173">
        <f t="shared" ref="AD148:AG148" si="53">+AD143+AD144+AD145+AD146+AD147</f>
        <v>0</v>
      </c>
      <c r="AE148" s="173">
        <f t="shared" si="53"/>
        <v>0</v>
      </c>
      <c r="AF148" s="173">
        <f>+AF143+AF144+AF145+AF146+AF147</f>
        <v>0</v>
      </c>
      <c r="AG148" s="173">
        <f t="shared" si="53"/>
        <v>0</v>
      </c>
    </row>
    <row r="149" spans="1:34" x14ac:dyDescent="0.25">
      <c r="A149" s="209" t="s">
        <v>245</v>
      </c>
      <c r="B149" s="210"/>
      <c r="C149" s="210"/>
      <c r="D149" s="211"/>
      <c r="E149" s="175">
        <f t="shared" ref="E149:X149" si="54">E148*E5</f>
        <v>0</v>
      </c>
      <c r="F149" s="175">
        <f t="shared" si="54"/>
        <v>75316031.259048</v>
      </c>
      <c r="G149" s="175">
        <f t="shared" si="54"/>
        <v>0</v>
      </c>
      <c r="H149" s="175">
        <f t="shared" si="54"/>
        <v>0</v>
      </c>
      <c r="I149" s="175">
        <f t="shared" si="54"/>
        <v>0</v>
      </c>
      <c r="J149" s="175">
        <f t="shared" si="54"/>
        <v>0</v>
      </c>
      <c r="K149" s="175">
        <f t="shared" si="54"/>
        <v>0</v>
      </c>
      <c r="L149" s="175">
        <f t="shared" si="54"/>
        <v>0</v>
      </c>
      <c r="M149" s="175">
        <f t="shared" si="54"/>
        <v>0</v>
      </c>
      <c r="N149" s="175">
        <f t="shared" si="54"/>
        <v>0</v>
      </c>
      <c r="O149" s="175">
        <f t="shared" si="54"/>
        <v>0</v>
      </c>
      <c r="P149" s="175">
        <f t="shared" si="54"/>
        <v>0</v>
      </c>
      <c r="Q149" s="175">
        <f t="shared" si="54"/>
        <v>0</v>
      </c>
      <c r="R149" s="175">
        <f t="shared" si="54"/>
        <v>0</v>
      </c>
      <c r="S149" s="175">
        <f t="shared" si="54"/>
        <v>0</v>
      </c>
      <c r="T149" s="175">
        <f t="shared" si="54"/>
        <v>0</v>
      </c>
      <c r="U149" s="175">
        <f t="shared" si="54"/>
        <v>0</v>
      </c>
      <c r="V149" s="175">
        <f t="shared" si="54"/>
        <v>0</v>
      </c>
      <c r="W149" s="175">
        <f t="shared" si="54"/>
        <v>0</v>
      </c>
      <c r="X149" s="175">
        <f t="shared" si="54"/>
        <v>0</v>
      </c>
      <c r="Y149" s="175">
        <f>Y148*Y17</f>
        <v>0</v>
      </c>
      <c r="Z149" s="175">
        <f>Z148*Z17</f>
        <v>0</v>
      </c>
      <c r="AA149" s="176">
        <f>SUM(E149:Z149)</f>
        <v>75316031.259048</v>
      </c>
      <c r="AB149" s="175">
        <f t="shared" ref="AB149:AG149" si="55">AB148*AB5</f>
        <v>0</v>
      </c>
      <c r="AC149" s="175">
        <f t="shared" si="55"/>
        <v>0</v>
      </c>
      <c r="AD149" s="175">
        <f t="shared" si="55"/>
        <v>0</v>
      </c>
      <c r="AE149" s="175">
        <f t="shared" si="55"/>
        <v>0</v>
      </c>
      <c r="AF149" s="175">
        <f t="shared" si="55"/>
        <v>0</v>
      </c>
      <c r="AG149" s="175">
        <f t="shared" si="55"/>
        <v>0</v>
      </c>
    </row>
    <row r="150" spans="1:34" ht="15.75" thickBot="1" x14ac:dyDescent="0.3">
      <c r="A150" s="212" t="s">
        <v>238</v>
      </c>
      <c r="B150" s="213"/>
      <c r="C150" s="213"/>
      <c r="D150" s="214"/>
      <c r="E150" s="177">
        <f>+E136+E148</f>
        <v>8</v>
      </c>
      <c r="F150" s="177">
        <f t="shared" ref="F150:X150" si="56">+F136+F148</f>
        <v>237</v>
      </c>
      <c r="G150" s="177">
        <f t="shared" si="56"/>
        <v>12</v>
      </c>
      <c r="H150" s="177">
        <f t="shared" si="56"/>
        <v>2</v>
      </c>
      <c r="I150" s="177">
        <f t="shared" si="56"/>
        <v>0</v>
      </c>
      <c r="J150" s="177">
        <f t="shared" si="56"/>
        <v>0</v>
      </c>
      <c r="K150" s="177">
        <f t="shared" si="56"/>
        <v>0</v>
      </c>
      <c r="L150" s="177">
        <f t="shared" si="56"/>
        <v>5</v>
      </c>
      <c r="M150" s="177">
        <f t="shared" si="56"/>
        <v>0</v>
      </c>
      <c r="N150" s="177">
        <f t="shared" si="56"/>
        <v>11</v>
      </c>
      <c r="O150" s="177">
        <f t="shared" si="56"/>
        <v>4</v>
      </c>
      <c r="P150" s="177">
        <f t="shared" si="56"/>
        <v>3</v>
      </c>
      <c r="Q150" s="177">
        <f t="shared" si="56"/>
        <v>7</v>
      </c>
      <c r="R150" s="177">
        <f t="shared" si="56"/>
        <v>3</v>
      </c>
      <c r="S150" s="177">
        <f t="shared" si="56"/>
        <v>0</v>
      </c>
      <c r="T150" s="177">
        <f t="shared" si="56"/>
        <v>4</v>
      </c>
      <c r="U150" s="177">
        <f t="shared" si="56"/>
        <v>1</v>
      </c>
      <c r="V150" s="177">
        <f t="shared" si="56"/>
        <v>1</v>
      </c>
      <c r="W150" s="177">
        <f t="shared" si="56"/>
        <v>0</v>
      </c>
      <c r="X150" s="177">
        <f t="shared" si="56"/>
        <v>1</v>
      </c>
      <c r="Y150" s="177">
        <f>+Y45+Y60+Y82+Y92+Y108+Y124+Y135+Y148</f>
        <v>0</v>
      </c>
      <c r="Z150" s="177">
        <f>+Z45+Z60+Z82+Z92+Z108+Z124+Z135+Z148</f>
        <v>0</v>
      </c>
      <c r="AA150" s="178">
        <f>SUM(E150:Z150)</f>
        <v>299</v>
      </c>
      <c r="AB150" s="177">
        <f t="shared" ref="AB150:AG150" si="57">+AB136+AB148</f>
        <v>1222</v>
      </c>
      <c r="AC150" s="177">
        <f t="shared" si="57"/>
        <v>109</v>
      </c>
      <c r="AD150" s="177">
        <f t="shared" si="57"/>
        <v>90</v>
      </c>
      <c r="AE150" s="177">
        <f t="shared" si="57"/>
        <v>86</v>
      </c>
      <c r="AF150" s="177">
        <f t="shared" si="57"/>
        <v>41</v>
      </c>
      <c r="AG150" s="177">
        <f t="shared" si="57"/>
        <v>127</v>
      </c>
      <c r="AH150" s="179">
        <f>SUM(AB150:AG150)</f>
        <v>1675</v>
      </c>
    </row>
    <row r="151" spans="1:34" ht="15.75" thickBot="1" x14ac:dyDescent="0.3">
      <c r="A151" s="215" t="s">
        <v>246</v>
      </c>
      <c r="B151" s="216"/>
      <c r="C151" s="216"/>
      <c r="D151" s="217"/>
      <c r="E151" s="180">
        <f>+E139+E149</f>
        <v>153421545.27999997</v>
      </c>
      <c r="F151" s="180">
        <f t="shared" ref="F151:AG151" si="58">+F139+F149</f>
        <v>4460719449.3930483</v>
      </c>
      <c r="G151" s="180">
        <f t="shared" si="58"/>
        <v>225948093.37599999</v>
      </c>
      <c r="H151" s="180">
        <f t="shared" si="58"/>
        <v>38704071.906999998</v>
      </c>
      <c r="I151" s="180">
        <f t="shared" si="58"/>
        <v>0</v>
      </c>
      <c r="J151" s="180">
        <f t="shared" si="58"/>
        <v>0</v>
      </c>
      <c r="K151" s="180">
        <f t="shared" si="58"/>
        <v>0</v>
      </c>
      <c r="L151" s="180">
        <f t="shared" si="58"/>
        <v>58260373.3737389</v>
      </c>
      <c r="M151" s="180">
        <f t="shared" si="58"/>
        <v>0</v>
      </c>
      <c r="N151" s="180">
        <f t="shared" si="58"/>
        <v>102190638.81778046</v>
      </c>
      <c r="O151" s="180">
        <f t="shared" si="58"/>
        <v>33085753.1207195</v>
      </c>
      <c r="P151" s="180">
        <f t="shared" si="58"/>
        <v>16542876.56035975</v>
      </c>
      <c r="Q151" s="180">
        <f t="shared" si="58"/>
        <v>46320054.169007301</v>
      </c>
      <c r="R151" s="180">
        <f t="shared" si="58"/>
        <v>31672708.753460366</v>
      </c>
      <c r="S151" s="180">
        <f t="shared" si="58"/>
        <v>0</v>
      </c>
      <c r="T151" s="180">
        <f t="shared" si="58"/>
        <v>43012320.109637536</v>
      </c>
      <c r="U151" s="180">
        <f t="shared" si="58"/>
        <v>7309838.9588680007</v>
      </c>
      <c r="V151" s="180">
        <f t="shared" si="58"/>
        <v>7176932.9232522184</v>
      </c>
      <c r="W151" s="180">
        <f t="shared" si="58"/>
        <v>0</v>
      </c>
      <c r="X151" s="180">
        <f t="shared" si="58"/>
        <v>4329179.3494292665</v>
      </c>
      <c r="Y151" s="180">
        <f t="shared" si="58"/>
        <v>0</v>
      </c>
      <c r="Z151" s="180">
        <f t="shared" si="58"/>
        <v>0</v>
      </c>
      <c r="AA151" s="153">
        <f>SUM(E151:Z151)</f>
        <v>5228693836.0923014</v>
      </c>
      <c r="AB151" s="180">
        <f t="shared" si="58"/>
        <v>36666452.666666672</v>
      </c>
      <c r="AC151" s="180">
        <f t="shared" si="58"/>
        <v>12647951.666666668</v>
      </c>
      <c r="AD151" s="180">
        <f t="shared" si="58"/>
        <v>13416723</v>
      </c>
      <c r="AE151" s="180">
        <f t="shared" si="58"/>
        <v>9322673.333333334</v>
      </c>
      <c r="AF151" s="180">
        <f t="shared" si="58"/>
        <v>14010208.666666666</v>
      </c>
      <c r="AG151" s="180">
        <f t="shared" si="58"/>
        <v>14551715</v>
      </c>
      <c r="AH151" s="153">
        <f>SUM(AB151:AG151)</f>
        <v>100615724.33333334</v>
      </c>
    </row>
    <row r="152" spans="1:34" x14ac:dyDescent="0.25">
      <c r="C152" s="181"/>
    </row>
    <row r="153" spans="1:34" ht="15.75" x14ac:dyDescent="0.25">
      <c r="A153" s="218" t="s">
        <v>247</v>
      </c>
      <c r="B153" s="218"/>
      <c r="C153" s="218"/>
    </row>
    <row r="154" spans="1:34" x14ac:dyDescent="0.25">
      <c r="C154" s="181"/>
    </row>
    <row r="155" spans="1:34" ht="78.75" x14ac:dyDescent="0.25">
      <c r="B155" s="182" t="s">
        <v>248</v>
      </c>
      <c r="C155" s="182" t="s">
        <v>249</v>
      </c>
      <c r="D155" s="182" t="s">
        <v>264</v>
      </c>
      <c r="E155" s="182" t="s">
        <v>265</v>
      </c>
    </row>
    <row r="156" spans="1:34" ht="15.75" x14ac:dyDescent="0.25">
      <c r="B156" s="183">
        <f>+AA151</f>
        <v>5228693836.0923014</v>
      </c>
      <c r="C156" s="183">
        <f>+AH151</f>
        <v>100615724.33333334</v>
      </c>
      <c r="D156" s="183">
        <f>+B156*3</f>
        <v>15686081508.276905</v>
      </c>
      <c r="E156" s="183">
        <f>+C156*3</f>
        <v>301847173</v>
      </c>
    </row>
  </sheetData>
  <mergeCells count="34">
    <mergeCell ref="A149:D149"/>
    <mergeCell ref="A150:D150"/>
    <mergeCell ref="A151:D151"/>
    <mergeCell ref="A153:C153"/>
    <mergeCell ref="A136:D136"/>
    <mergeCell ref="A137:D137"/>
    <mergeCell ref="A138:D138"/>
    <mergeCell ref="A139:D139"/>
    <mergeCell ref="A141:D141"/>
    <mergeCell ref="A148:D148"/>
    <mergeCell ref="A135:D135"/>
    <mergeCell ref="A83:D83"/>
    <mergeCell ref="A96:D96"/>
    <mergeCell ref="B98:C98"/>
    <mergeCell ref="A99:D99"/>
    <mergeCell ref="A112:D112"/>
    <mergeCell ref="B114:C114"/>
    <mergeCell ref="A115:D115"/>
    <mergeCell ref="A123:D123"/>
    <mergeCell ref="B125:C125"/>
    <mergeCell ref="A126:D126"/>
    <mergeCell ref="A134:D134"/>
    <mergeCell ref="B82:C82"/>
    <mergeCell ref="A2:C5"/>
    <mergeCell ref="A33:D33"/>
    <mergeCell ref="B35:C35"/>
    <mergeCell ref="A36:D36"/>
    <mergeCell ref="A48:D48"/>
    <mergeCell ref="B50:C50"/>
    <mergeCell ref="A51:D51"/>
    <mergeCell ref="A70:D70"/>
    <mergeCell ref="B72:C72"/>
    <mergeCell ref="A73:D73"/>
    <mergeCell ref="A80:D80"/>
  </mergeCells>
  <conditionalFormatting sqref="AB152:AG1048576">
    <cfRule type="cellIs" dxfId="3" priority="1" operator="greaterThan">
      <formula>0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C08F5-420C-47F9-A705-C48E16E4D86B}">
  <sheetPr>
    <tabColor rgb="FFFFFF00"/>
  </sheetPr>
  <dimension ref="A1:AI156"/>
  <sheetViews>
    <sheetView zoomScale="80" zoomScaleNormal="80" workbookViewId="0">
      <pane xSplit="5" ySplit="10" topLeftCell="V109" activePane="bottomRight" state="frozen"/>
      <selection pane="topRight" activeCell="F1" sqref="F1"/>
      <selection pane="bottomLeft" activeCell="A10" sqref="A10"/>
      <selection pane="bottomRight" activeCell="AB126" sqref="AB126:AG126"/>
    </sheetView>
  </sheetViews>
  <sheetFormatPr baseColWidth="10" defaultColWidth="11.42578125" defaultRowHeight="15" x14ac:dyDescent="0.25"/>
  <cols>
    <col min="1" max="1" width="21.140625" customWidth="1"/>
    <col min="2" max="2" width="31.42578125" customWidth="1"/>
    <col min="3" max="3" width="22.28515625" customWidth="1"/>
    <col min="4" max="4" width="17.7109375" customWidth="1"/>
    <col min="5" max="7" width="16.42578125" customWidth="1"/>
    <col min="8" max="8" width="19.28515625" bestFit="1" customWidth="1"/>
    <col min="9" max="9" width="18.5703125" style="160" customWidth="1"/>
    <col min="10" max="10" width="14.28515625" style="160" customWidth="1"/>
    <col min="11" max="11" width="16.42578125" style="160" customWidth="1"/>
    <col min="12" max="12" width="16.42578125" customWidth="1"/>
    <col min="13" max="13" width="15.85546875" style="160" customWidth="1"/>
    <col min="14" max="17" width="16.42578125" customWidth="1"/>
    <col min="18" max="18" width="18.42578125" customWidth="1"/>
    <col min="19" max="19" width="16.85546875" style="160" customWidth="1"/>
    <col min="20" max="22" width="16.42578125" customWidth="1"/>
    <col min="23" max="23" width="16.42578125" style="160" hidden="1" customWidth="1"/>
    <col min="24" max="24" width="17.42578125" customWidth="1"/>
    <col min="25" max="25" width="12" style="160" customWidth="1"/>
    <col min="26" max="26" width="12.28515625" style="160" customWidth="1"/>
    <col min="27" max="27" width="19.42578125" customWidth="1"/>
    <col min="28" max="30" width="15.28515625" bestFit="1" customWidth="1"/>
    <col min="31" max="31" width="13.85546875" bestFit="1" customWidth="1"/>
    <col min="32" max="32" width="12.42578125" bestFit="1" customWidth="1"/>
    <col min="33" max="33" width="12.7109375" bestFit="1" customWidth="1"/>
    <col min="34" max="34" width="13.85546875" bestFit="1" customWidth="1"/>
  </cols>
  <sheetData>
    <row r="1" spans="1:35" ht="15.75" thickBot="1" x14ac:dyDescent="0.3">
      <c r="E1" s="191"/>
      <c r="F1" s="192"/>
      <c r="G1" s="191"/>
      <c r="H1" s="192">
        <v>1750905</v>
      </c>
      <c r="I1" s="192">
        <v>9.85</v>
      </c>
      <c r="J1" s="192">
        <v>2850</v>
      </c>
      <c r="K1" s="192"/>
      <c r="L1" s="192"/>
      <c r="M1" s="192"/>
      <c r="N1" s="192"/>
      <c r="O1" s="192"/>
      <c r="P1" s="193"/>
      <c r="Q1" s="193"/>
      <c r="R1" s="192"/>
      <c r="S1" s="192"/>
      <c r="T1" s="194"/>
      <c r="U1" s="192"/>
      <c r="V1" s="192"/>
      <c r="W1" s="192"/>
      <c r="X1" s="192"/>
      <c r="Y1" s="192"/>
      <c r="Z1" s="192"/>
      <c r="AI1" s="52"/>
    </row>
    <row r="2" spans="1:35" x14ac:dyDescent="0.25">
      <c r="A2" s="200" t="s">
        <v>0</v>
      </c>
      <c r="B2" s="200"/>
      <c r="C2" s="200"/>
      <c r="D2" s="1" t="s">
        <v>1</v>
      </c>
      <c r="E2" s="197">
        <f>(($H$1*$I$1)+$J$1)/30*14</f>
        <v>8049656.6499999994</v>
      </c>
      <c r="F2" s="197">
        <f>(($H$1*$I$1)+$J$1)/30*14</f>
        <v>8049656.6499999994</v>
      </c>
      <c r="G2" s="197">
        <f>(($H$1*$I$1)+$J$1)/30*14</f>
        <v>8049656.6499999994</v>
      </c>
      <c r="H2" s="197">
        <f>(($H$1*$I$1)+$J$1)/30*14</f>
        <v>8049656.6499999994</v>
      </c>
      <c r="I2" s="197">
        <f>(($H$1*$I$1)+$J$1)/30*20/20*10</f>
        <v>5749754.75</v>
      </c>
      <c r="J2" s="197">
        <f>(($H$1*$I$1)+$J$1)/30*24/24*12</f>
        <v>6899705.6999999993</v>
      </c>
      <c r="K2" s="197">
        <f>(((($H$1*$I$1)+$J$1)*0.4759/13*5)+((($H$1*$I$1)+$J$1)*0.5241/11*11))/30*14</f>
        <v>5692221.8193938462</v>
      </c>
      <c r="L2" s="197">
        <f>(((($H$1*$I$1)+$J$1)*0.4759/13*13)+((($H$1*$I$1)+$J$1)*0.5241/11*3))/30*14</f>
        <v>4981420.249807274</v>
      </c>
      <c r="M2" s="197">
        <f>(((($H$1*$I$1)+$J$1)*0.4759/30*20/13*13)+((($H$1*$I$1)+$J$1)*0.5241/30*20/11*3))/20*10</f>
        <v>3558157.3212909088</v>
      </c>
      <c r="N2" s="197">
        <f>(((($H$1*$I$1)+$J$1)*0.4759/30*24/13*13)+((($H$1*$I$1)+$J$1)*0.5241/30*24/11*3))/24*12</f>
        <v>4269788.7855490912</v>
      </c>
      <c r="O2" s="197">
        <f>((($H$1*$I$1)+$J$1)*0.4759/13*12)/30*14</f>
        <v>3536152.2459092312</v>
      </c>
      <c r="P2" s="197">
        <f>((($H$1*$I$1)+$J$1)*0.4759/30*20/13*12)/20*10</f>
        <v>2525823.0327923074</v>
      </c>
      <c r="Q2" s="197">
        <f>((($H$1*$I$1)+$J$1)*0.4759/30*24/13*12)/24*12</f>
        <v>3030987.6393507691</v>
      </c>
      <c r="R2" s="197">
        <f>(((($H$1*$I$1)+$J$1)*0.4759/13*1)+((($H$1*$I$1)+$J$1)*0.5241/11*11))/30*14</f>
        <v>4513504.4040907696</v>
      </c>
      <c r="S2" s="197">
        <f>(((($H$1*$I$1)+$J$1)*0.4759/30*24/13*1)+((($H$1*$I$1)+$J$1)*0.5241/30*24/11*11))/24*12</f>
        <v>3868718.060649232</v>
      </c>
      <c r="T2" s="197">
        <f>(((($H$1*$I$1)+$J$1)*0.4759/13*1)+((($H$1*$I$1)+$J$1)*0.5241/11*11))/30*14</f>
        <v>4513504.4040907696</v>
      </c>
      <c r="U2" s="197">
        <f>(((($H$1*$I$1)+$J$1)*0.5241/11*8))/30*14</f>
        <v>3068236.4001927273</v>
      </c>
      <c r="V2" s="197">
        <f>(((($H$1*$I$1)+$J$1)*0.5241/11*8))/30*14</f>
        <v>3068236.4001927273</v>
      </c>
      <c r="W2" s="197">
        <f>((($H$1*$I$1)+$J$1)*0.5241/30*20/11*8)</f>
        <v>4383194.8574181823</v>
      </c>
      <c r="X2" s="197">
        <f>((($H$1*$I$1)+$J$1)*0.4759/30*24/13*8)/24*12</f>
        <v>2020658.4262338462</v>
      </c>
      <c r="Y2" s="197">
        <f>((($H$1*$I$1)+$J$1)*0.4759/30*20/13*8)/20*10</f>
        <v>1683882.0218615383</v>
      </c>
      <c r="Z2" s="197">
        <f>((($H$1*$I$1)+$J$1)*0.4759/13*8)/30*14</f>
        <v>2357434.8306061542</v>
      </c>
      <c r="AA2" s="3"/>
      <c r="AB2" s="2">
        <f>+'ZONA 1 9,77'!AB2/30*14</f>
        <v>11845.711111111112</v>
      </c>
      <c r="AC2" s="2">
        <f>+'ZONA 1 9,77'!AC2/30*14</f>
        <v>46043.977777777778</v>
      </c>
      <c r="AD2" s="2">
        <f>+'ZONA 1 9,77'!AD2/30*14</f>
        <v>58983.866666666669</v>
      </c>
      <c r="AE2" s="2">
        <f>+'ZONA 1 9,77'!AE2/30*14</f>
        <v>42829.111111111109</v>
      </c>
      <c r="AF2" s="2">
        <f>+'ZONA 1 9,77'!AF2/30*14</f>
        <v>135056.75555555554</v>
      </c>
      <c r="AG2" s="2">
        <f>+'ZONA 1 9,77'!AG2/30*14</f>
        <v>45447.733333333337</v>
      </c>
    </row>
    <row r="3" spans="1:35" x14ac:dyDescent="0.25">
      <c r="A3" s="200"/>
      <c r="B3" s="200"/>
      <c r="C3" s="200"/>
      <c r="D3" s="4" t="s">
        <v>2</v>
      </c>
      <c r="E3" s="193">
        <f>E2*10%</f>
        <v>804965.66500000004</v>
      </c>
      <c r="F3" s="193">
        <f>F2*8%</f>
        <v>643972.53200000001</v>
      </c>
      <c r="G3" s="193">
        <f>G2*8%</f>
        <v>643972.53200000001</v>
      </c>
      <c r="H3" s="193">
        <f>H2*11%</f>
        <v>885462.23149999999</v>
      </c>
      <c r="I3" s="193">
        <f>I2*8%</f>
        <v>459980.38</v>
      </c>
      <c r="J3" s="193">
        <f>J2*8%</f>
        <v>551976.45600000001</v>
      </c>
      <c r="K3" s="193">
        <f>K2*8%</f>
        <v>455377.74555150769</v>
      </c>
      <c r="L3" s="193">
        <f t="shared" ref="L3:S3" si="0">L2*8%</f>
        <v>398513.61998458195</v>
      </c>
      <c r="M3" s="193">
        <f t="shared" si="0"/>
        <v>284652.58570327272</v>
      </c>
      <c r="N3" s="193">
        <f t="shared" si="0"/>
        <v>341583.10284392728</v>
      </c>
      <c r="O3" s="193">
        <f t="shared" si="0"/>
        <v>282892.17967273848</v>
      </c>
      <c r="P3" s="193">
        <f t="shared" si="0"/>
        <v>202065.84262338461</v>
      </c>
      <c r="Q3" s="193">
        <f t="shared" si="0"/>
        <v>242479.01114806155</v>
      </c>
      <c r="R3" s="193">
        <f t="shared" si="0"/>
        <v>361080.35232726159</v>
      </c>
      <c r="S3" s="193">
        <f t="shared" si="0"/>
        <v>309497.44485193858</v>
      </c>
      <c r="T3" s="193">
        <f>T2*10%</f>
        <v>451350.44040907698</v>
      </c>
      <c r="U3" s="193">
        <f>U2*10%</f>
        <v>306823.64001927275</v>
      </c>
      <c r="V3" s="193">
        <f>V2*8%</f>
        <v>245458.9120154182</v>
      </c>
      <c r="W3" s="193">
        <f>W2*8%</f>
        <v>350655.58859345457</v>
      </c>
      <c r="X3" s="193">
        <f>X2*8%</f>
        <v>161652.67409870771</v>
      </c>
      <c r="Y3" s="193">
        <f>Y2*8%</f>
        <v>134710.56174892306</v>
      </c>
      <c r="Z3" s="193">
        <f>Z2*8%</f>
        <v>188594.78644849235</v>
      </c>
      <c r="AA3" s="3"/>
      <c r="AB3" s="2"/>
      <c r="AC3" s="2"/>
      <c r="AD3" s="2"/>
      <c r="AE3" s="2"/>
      <c r="AF3" s="2"/>
      <c r="AG3" s="2"/>
    </row>
    <row r="4" spans="1:35" ht="15.75" thickBot="1" x14ac:dyDescent="0.3">
      <c r="A4" s="200"/>
      <c r="B4" s="200"/>
      <c r="C4" s="200"/>
      <c r="D4" s="5" t="s">
        <v>3</v>
      </c>
      <c r="E4" s="193">
        <f>(E2+E3)*0.019</f>
        <v>168237.823985</v>
      </c>
      <c r="F4" s="193">
        <f t="shared" ref="F4:Z4" si="1">(F2+F3)*0.019</f>
        <v>165178.95445799999</v>
      </c>
      <c r="G4" s="193">
        <f t="shared" si="1"/>
        <v>165178.95445799999</v>
      </c>
      <c r="H4" s="193">
        <f t="shared" si="1"/>
        <v>169767.2587485</v>
      </c>
      <c r="I4" s="193">
        <f t="shared" si="1"/>
        <v>117984.96746999999</v>
      </c>
      <c r="J4" s="193">
        <f t="shared" si="1"/>
        <v>141581.960964</v>
      </c>
      <c r="K4" s="193">
        <f t="shared" si="1"/>
        <v>116804.39173396172</v>
      </c>
      <c r="L4" s="193">
        <f t="shared" si="1"/>
        <v>102218.74352604526</v>
      </c>
      <c r="M4" s="193">
        <f t="shared" si="1"/>
        <v>73013.388232889454</v>
      </c>
      <c r="N4" s="193">
        <f t="shared" si="1"/>
        <v>87616.065879467351</v>
      </c>
      <c r="O4" s="193">
        <f t="shared" si="1"/>
        <v>72561.844086057419</v>
      </c>
      <c r="P4" s="193">
        <f t="shared" si="1"/>
        <v>51829.888632898146</v>
      </c>
      <c r="Q4" s="193">
        <f t="shared" si="1"/>
        <v>62195.866359477783</v>
      </c>
      <c r="R4" s="193">
        <f t="shared" si="1"/>
        <v>92617.110371942588</v>
      </c>
      <c r="S4" s="193">
        <f t="shared" si="1"/>
        <v>79386.094604522237</v>
      </c>
      <c r="T4" s="193">
        <f t="shared" si="1"/>
        <v>94332.242045497085</v>
      </c>
      <c r="U4" s="193">
        <f t="shared" si="1"/>
        <v>64126.140764028001</v>
      </c>
      <c r="V4" s="193">
        <f t="shared" si="1"/>
        <v>62960.21093195476</v>
      </c>
      <c r="W4" s="193">
        <f t="shared" si="1"/>
        <v>89943.158474221083</v>
      </c>
      <c r="X4" s="193">
        <f t="shared" si="1"/>
        <v>41463.910906318524</v>
      </c>
      <c r="Y4" s="193">
        <f t="shared" si="1"/>
        <v>34553.259088598767</v>
      </c>
      <c r="Z4" s="193">
        <f t="shared" si="1"/>
        <v>48374.562724038282</v>
      </c>
      <c r="AA4" s="3"/>
      <c r="AB4" s="2">
        <f>+AB2*0.19</f>
        <v>2250.6851111111114</v>
      </c>
      <c r="AC4" s="2">
        <f t="shared" ref="AC4:AG4" si="2">+AC2*0.19</f>
        <v>8748.3557777777787</v>
      </c>
      <c r="AD4" s="2">
        <f t="shared" si="2"/>
        <v>11206.934666666668</v>
      </c>
      <c r="AE4" s="2">
        <f t="shared" si="2"/>
        <v>8137.5311111111105</v>
      </c>
      <c r="AF4" s="2">
        <f t="shared" si="2"/>
        <v>25660.783555555554</v>
      </c>
      <c r="AG4" s="2">
        <f t="shared" si="2"/>
        <v>8635.0693333333347</v>
      </c>
    </row>
    <row r="5" spans="1:35" ht="15.75" thickBot="1" x14ac:dyDescent="0.3">
      <c r="A5" s="201"/>
      <c r="B5" s="201"/>
      <c r="C5" s="201"/>
      <c r="D5" s="6" t="s">
        <v>4</v>
      </c>
      <c r="E5" s="195">
        <f>+E2+E3+E4</f>
        <v>9022860.1389849987</v>
      </c>
      <c r="F5" s="196">
        <f t="shared" ref="F5:Z5" si="3">+F2+F3+F4</f>
        <v>8858808.1364580002</v>
      </c>
      <c r="G5" s="196">
        <f t="shared" si="3"/>
        <v>8858808.1364580002</v>
      </c>
      <c r="H5" s="196">
        <f t="shared" si="3"/>
        <v>9104886.1402484998</v>
      </c>
      <c r="I5" s="196">
        <f t="shared" si="3"/>
        <v>6327720.0974699995</v>
      </c>
      <c r="J5" s="196">
        <f t="shared" si="3"/>
        <v>7593264.1169639993</v>
      </c>
      <c r="K5" s="196">
        <f t="shared" si="3"/>
        <v>6264403.9566793162</v>
      </c>
      <c r="L5" s="196">
        <f t="shared" si="3"/>
        <v>5482152.6133179013</v>
      </c>
      <c r="M5" s="196">
        <f t="shared" si="3"/>
        <v>3915823.2952270713</v>
      </c>
      <c r="N5" s="196">
        <f t="shared" si="3"/>
        <v>4698987.9542724853</v>
      </c>
      <c r="O5" s="196">
        <f t="shared" si="3"/>
        <v>3891606.2696680273</v>
      </c>
      <c r="P5" s="196">
        <f t="shared" si="3"/>
        <v>2779718.7640485903</v>
      </c>
      <c r="Q5" s="196">
        <f t="shared" si="3"/>
        <v>3335662.5168583086</v>
      </c>
      <c r="R5" s="196">
        <f t="shared" si="3"/>
        <v>4967201.8667899733</v>
      </c>
      <c r="S5" s="196">
        <f t="shared" si="3"/>
        <v>4257601.6001056926</v>
      </c>
      <c r="T5" s="196">
        <f t="shared" si="3"/>
        <v>5059187.0865453444</v>
      </c>
      <c r="U5" s="196">
        <f t="shared" si="3"/>
        <v>3439186.1809760281</v>
      </c>
      <c r="V5" s="196">
        <f t="shared" si="3"/>
        <v>3376655.5231401003</v>
      </c>
      <c r="W5" s="196">
        <f t="shared" si="3"/>
        <v>4823793.6044858573</v>
      </c>
      <c r="X5" s="196">
        <f t="shared" si="3"/>
        <v>2223775.0112388725</v>
      </c>
      <c r="Y5" s="196">
        <f t="shared" si="3"/>
        <v>1853145.84269906</v>
      </c>
      <c r="Z5" s="196">
        <f t="shared" si="3"/>
        <v>2594404.1797786849</v>
      </c>
      <c r="AA5" s="3"/>
      <c r="AB5" s="2">
        <f>+AB2+AB4</f>
        <v>14096.396222222224</v>
      </c>
      <c r="AC5" s="2">
        <f>+AC2+AC4</f>
        <v>54792.333555555553</v>
      </c>
      <c r="AD5" s="2">
        <f t="shared" ref="AD5:AG5" si="4">+AD2+AD4</f>
        <v>70190.801333333337</v>
      </c>
      <c r="AE5" s="2">
        <f t="shared" si="4"/>
        <v>50966.642222222217</v>
      </c>
      <c r="AF5" s="2">
        <f t="shared" si="4"/>
        <v>160717.53911111111</v>
      </c>
      <c r="AG5" s="2">
        <f t="shared" si="4"/>
        <v>54082.80266666667</v>
      </c>
    </row>
    <row r="6" spans="1:35" ht="118.5" customHeight="1" thickBot="1" x14ac:dyDescent="0.3">
      <c r="A6" s="7" t="s">
        <v>5</v>
      </c>
      <c r="B6" s="8" t="s">
        <v>6</v>
      </c>
      <c r="C6" s="7" t="s">
        <v>7</v>
      </c>
      <c r="D6" s="9" t="s">
        <v>8</v>
      </c>
      <c r="E6" s="10" t="s">
        <v>9</v>
      </c>
      <c r="F6" s="11" t="s">
        <v>10</v>
      </c>
      <c r="G6" s="11" t="s">
        <v>11</v>
      </c>
      <c r="H6" s="11" t="s">
        <v>12</v>
      </c>
      <c r="I6" s="12" t="s">
        <v>13</v>
      </c>
      <c r="J6" s="12" t="s">
        <v>14</v>
      </c>
      <c r="K6" s="12" t="s">
        <v>273</v>
      </c>
      <c r="L6" s="11" t="s">
        <v>274</v>
      </c>
      <c r="M6" s="12" t="s">
        <v>275</v>
      </c>
      <c r="N6" s="11" t="s">
        <v>276</v>
      </c>
      <c r="O6" s="11" t="s">
        <v>19</v>
      </c>
      <c r="P6" s="11" t="s">
        <v>20</v>
      </c>
      <c r="Q6" s="11" t="s">
        <v>21</v>
      </c>
      <c r="R6" s="13" t="s">
        <v>277</v>
      </c>
      <c r="S6" s="14" t="s">
        <v>278</v>
      </c>
      <c r="T6" s="15" t="s">
        <v>24</v>
      </c>
      <c r="U6" s="11" t="s">
        <v>25</v>
      </c>
      <c r="V6" s="11" t="s">
        <v>26</v>
      </c>
      <c r="W6" s="12" t="s">
        <v>27</v>
      </c>
      <c r="X6" s="11" t="s">
        <v>28</v>
      </c>
      <c r="Y6" s="12" t="s">
        <v>29</v>
      </c>
      <c r="Z6" s="14" t="s">
        <v>30</v>
      </c>
      <c r="AA6" s="3"/>
      <c r="AB6" s="16" t="s">
        <v>31</v>
      </c>
      <c r="AC6" s="17" t="s">
        <v>32</v>
      </c>
      <c r="AD6" s="18" t="s">
        <v>33</v>
      </c>
      <c r="AE6" s="18" t="s">
        <v>34</v>
      </c>
      <c r="AF6" s="18" t="s">
        <v>35</v>
      </c>
      <c r="AG6" s="19" t="s">
        <v>36</v>
      </c>
    </row>
    <row r="7" spans="1:35" ht="27.75" thickBot="1" x14ac:dyDescent="0.3">
      <c r="A7" s="20" t="s">
        <v>37</v>
      </c>
      <c r="B7" s="21" t="s">
        <v>38</v>
      </c>
      <c r="C7" s="22" t="s">
        <v>39</v>
      </c>
      <c r="D7" s="22" t="s">
        <v>40</v>
      </c>
      <c r="E7" s="23">
        <v>0</v>
      </c>
      <c r="F7" s="23">
        <v>1</v>
      </c>
      <c r="G7" s="23">
        <v>0</v>
      </c>
      <c r="H7" s="23">
        <v>0</v>
      </c>
      <c r="I7" s="24">
        <v>0</v>
      </c>
      <c r="J7" s="24">
        <v>0</v>
      </c>
      <c r="K7" s="24">
        <v>0</v>
      </c>
      <c r="L7" s="23">
        <v>0</v>
      </c>
      <c r="M7" s="24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4">
        <v>0</v>
      </c>
      <c r="T7" s="23">
        <v>0</v>
      </c>
      <c r="U7" s="23">
        <v>0</v>
      </c>
      <c r="V7" s="23">
        <v>0</v>
      </c>
      <c r="W7" s="24">
        <v>0</v>
      </c>
      <c r="X7" s="23">
        <v>0</v>
      </c>
      <c r="Y7" s="24">
        <v>0</v>
      </c>
      <c r="Z7" s="25">
        <v>0</v>
      </c>
      <c r="AA7" s="3"/>
      <c r="AB7" s="26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</row>
    <row r="8" spans="1:35" ht="15.75" thickBot="1" x14ac:dyDescent="0.3">
      <c r="A8" s="28" t="s">
        <v>37</v>
      </c>
      <c r="B8" s="29" t="s">
        <v>41</v>
      </c>
      <c r="C8" s="30" t="s">
        <v>42</v>
      </c>
      <c r="D8" s="30" t="s">
        <v>40</v>
      </c>
      <c r="E8" s="31">
        <v>0</v>
      </c>
      <c r="F8" s="31">
        <v>2</v>
      </c>
      <c r="G8" s="31">
        <v>1</v>
      </c>
      <c r="H8" s="31">
        <v>0</v>
      </c>
      <c r="I8" s="32">
        <v>0</v>
      </c>
      <c r="J8" s="32">
        <v>0</v>
      </c>
      <c r="K8" s="24">
        <v>0</v>
      </c>
      <c r="L8" s="31">
        <v>0</v>
      </c>
      <c r="M8" s="32">
        <v>0</v>
      </c>
      <c r="N8" s="31">
        <v>0</v>
      </c>
      <c r="O8" s="31">
        <v>0</v>
      </c>
      <c r="P8" s="31">
        <v>0</v>
      </c>
      <c r="Q8" s="31">
        <v>5</v>
      </c>
      <c r="R8" s="31">
        <v>0</v>
      </c>
      <c r="S8" s="32">
        <v>0</v>
      </c>
      <c r="T8" s="31">
        <v>0</v>
      </c>
      <c r="U8" s="31">
        <v>0</v>
      </c>
      <c r="V8" s="31">
        <v>0</v>
      </c>
      <c r="W8" s="32">
        <v>0</v>
      </c>
      <c r="X8" s="31">
        <v>0</v>
      </c>
      <c r="Y8" s="32">
        <v>0</v>
      </c>
      <c r="Z8" s="33">
        <v>0</v>
      </c>
      <c r="AA8" s="3"/>
      <c r="AB8" s="26">
        <v>30</v>
      </c>
      <c r="AC8" s="26">
        <v>0</v>
      </c>
      <c r="AD8" s="26">
        <v>2</v>
      </c>
      <c r="AE8" s="26">
        <v>2</v>
      </c>
      <c r="AF8" s="26">
        <v>1</v>
      </c>
      <c r="AG8" s="26">
        <v>4</v>
      </c>
    </row>
    <row r="9" spans="1:35" ht="27.75" thickBot="1" x14ac:dyDescent="0.3">
      <c r="A9" s="28" t="s">
        <v>37</v>
      </c>
      <c r="B9" s="29" t="s">
        <v>43</v>
      </c>
      <c r="C9" s="30" t="s">
        <v>44</v>
      </c>
      <c r="D9" s="30" t="s">
        <v>40</v>
      </c>
      <c r="E9" s="31">
        <v>0</v>
      </c>
      <c r="F9" s="31">
        <v>3</v>
      </c>
      <c r="G9" s="31">
        <v>0</v>
      </c>
      <c r="H9" s="31">
        <v>0</v>
      </c>
      <c r="I9" s="32">
        <v>0</v>
      </c>
      <c r="J9" s="32">
        <v>0</v>
      </c>
      <c r="K9" s="24">
        <v>0</v>
      </c>
      <c r="L9" s="31">
        <v>0</v>
      </c>
      <c r="M9" s="32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2">
        <v>0</v>
      </c>
      <c r="T9" s="31">
        <v>0</v>
      </c>
      <c r="U9" s="31">
        <v>0</v>
      </c>
      <c r="V9" s="31">
        <v>0</v>
      </c>
      <c r="W9" s="32">
        <v>0</v>
      </c>
      <c r="X9" s="31">
        <v>0</v>
      </c>
      <c r="Y9" s="32">
        <v>0</v>
      </c>
      <c r="Z9" s="33">
        <v>0</v>
      </c>
      <c r="AA9" s="3"/>
      <c r="AB9" s="26">
        <f>30-2</f>
        <v>28</v>
      </c>
      <c r="AC9" s="26"/>
      <c r="AD9" s="26">
        <v>2</v>
      </c>
      <c r="AE9" s="26">
        <v>2</v>
      </c>
      <c r="AF9" s="26">
        <v>1</v>
      </c>
      <c r="AG9" s="26">
        <v>4</v>
      </c>
    </row>
    <row r="10" spans="1:35" ht="27.75" thickBot="1" x14ac:dyDescent="0.3">
      <c r="A10" s="28" t="s">
        <v>37</v>
      </c>
      <c r="B10" s="29" t="s">
        <v>45</v>
      </c>
      <c r="C10" s="30" t="s">
        <v>46</v>
      </c>
      <c r="D10" s="30" t="s">
        <v>40</v>
      </c>
      <c r="E10" s="31">
        <v>0</v>
      </c>
      <c r="F10" s="31">
        <v>3</v>
      </c>
      <c r="G10" s="31">
        <v>0</v>
      </c>
      <c r="H10" s="31">
        <v>0</v>
      </c>
      <c r="I10" s="32">
        <v>0</v>
      </c>
      <c r="J10" s="32">
        <v>0</v>
      </c>
      <c r="K10" s="24">
        <v>0</v>
      </c>
      <c r="L10" s="31">
        <v>0</v>
      </c>
      <c r="M10" s="32">
        <v>0</v>
      </c>
      <c r="N10" s="31">
        <v>1</v>
      </c>
      <c r="O10" s="31">
        <v>0</v>
      </c>
      <c r="P10" s="31">
        <v>0</v>
      </c>
      <c r="Q10" s="31">
        <v>0</v>
      </c>
      <c r="R10" s="31">
        <v>0</v>
      </c>
      <c r="S10" s="32">
        <v>0</v>
      </c>
      <c r="T10" s="31">
        <v>0</v>
      </c>
      <c r="U10" s="31">
        <v>0</v>
      </c>
      <c r="V10" s="31">
        <v>0</v>
      </c>
      <c r="W10" s="32">
        <v>0</v>
      </c>
      <c r="X10" s="31">
        <v>0</v>
      </c>
      <c r="Y10" s="32">
        <v>0</v>
      </c>
      <c r="Z10" s="33">
        <v>0</v>
      </c>
      <c r="AA10" s="3"/>
      <c r="AB10" s="26">
        <v>16</v>
      </c>
      <c r="AC10" s="26">
        <v>0</v>
      </c>
      <c r="AD10" s="26">
        <v>1</v>
      </c>
      <c r="AE10" s="26">
        <v>1</v>
      </c>
      <c r="AF10" s="26">
        <v>0</v>
      </c>
      <c r="AG10" s="26">
        <v>0</v>
      </c>
    </row>
    <row r="11" spans="1:35" ht="27.75" thickBot="1" x14ac:dyDescent="0.3">
      <c r="A11" s="28" t="s">
        <v>37</v>
      </c>
      <c r="B11" s="29" t="s">
        <v>47</v>
      </c>
      <c r="C11" s="30" t="s">
        <v>48</v>
      </c>
      <c r="D11" s="30" t="s">
        <v>40</v>
      </c>
      <c r="E11" s="31">
        <v>0</v>
      </c>
      <c r="F11" s="31">
        <v>4</v>
      </c>
      <c r="G11" s="31">
        <v>0</v>
      </c>
      <c r="H11" s="31">
        <v>0</v>
      </c>
      <c r="I11" s="32">
        <v>0</v>
      </c>
      <c r="J11" s="32">
        <v>0</v>
      </c>
      <c r="K11" s="24">
        <v>0</v>
      </c>
      <c r="L11" s="31">
        <v>0</v>
      </c>
      <c r="M11" s="32">
        <v>0</v>
      </c>
      <c r="N11" s="31">
        <v>1</v>
      </c>
      <c r="O11" s="31">
        <v>0</v>
      </c>
      <c r="P11" s="31">
        <v>0</v>
      </c>
      <c r="Q11" s="31">
        <v>0</v>
      </c>
      <c r="R11" s="31">
        <v>0</v>
      </c>
      <c r="S11" s="32">
        <v>0</v>
      </c>
      <c r="T11" s="31">
        <v>0</v>
      </c>
      <c r="U11" s="31">
        <v>0</v>
      </c>
      <c r="V11" s="31">
        <v>0</v>
      </c>
      <c r="W11" s="32">
        <v>0</v>
      </c>
      <c r="X11" s="31">
        <v>0</v>
      </c>
      <c r="Y11" s="32">
        <v>0</v>
      </c>
      <c r="Z11" s="33">
        <v>0</v>
      </c>
      <c r="AA11" s="3"/>
      <c r="AB11" s="26">
        <v>8</v>
      </c>
      <c r="AC11" s="26">
        <v>0</v>
      </c>
      <c r="AD11" s="26">
        <v>1</v>
      </c>
      <c r="AE11" s="26">
        <v>1</v>
      </c>
      <c r="AF11" s="26">
        <v>0</v>
      </c>
      <c r="AG11" s="26">
        <v>0</v>
      </c>
    </row>
    <row r="12" spans="1:35" ht="27.75" thickBot="1" x14ac:dyDescent="0.3">
      <c r="A12" s="28" t="s">
        <v>37</v>
      </c>
      <c r="B12" s="29" t="s">
        <v>49</v>
      </c>
      <c r="C12" s="30" t="s">
        <v>50</v>
      </c>
      <c r="D12" s="30" t="s">
        <v>40</v>
      </c>
      <c r="E12" s="31">
        <v>0</v>
      </c>
      <c r="F12" s="31">
        <v>3</v>
      </c>
      <c r="G12" s="31">
        <v>0</v>
      </c>
      <c r="H12" s="31">
        <v>0</v>
      </c>
      <c r="I12" s="32">
        <v>0</v>
      </c>
      <c r="J12" s="32">
        <v>0</v>
      </c>
      <c r="K12" s="24">
        <v>0</v>
      </c>
      <c r="L12" s="31">
        <v>0</v>
      </c>
      <c r="M12" s="32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2">
        <v>0</v>
      </c>
      <c r="T12" s="31">
        <v>0</v>
      </c>
      <c r="U12" s="31">
        <v>0</v>
      </c>
      <c r="V12" s="31">
        <v>0</v>
      </c>
      <c r="W12" s="32">
        <v>0</v>
      </c>
      <c r="X12" s="31">
        <v>0</v>
      </c>
      <c r="Y12" s="32">
        <v>0</v>
      </c>
      <c r="Z12" s="33">
        <v>0</v>
      </c>
      <c r="AA12" s="3"/>
      <c r="AB12" s="26">
        <v>4</v>
      </c>
      <c r="AC12" s="26">
        <v>0</v>
      </c>
      <c r="AD12" s="26">
        <v>1</v>
      </c>
      <c r="AE12" s="26">
        <v>1</v>
      </c>
      <c r="AF12" s="26">
        <v>0</v>
      </c>
      <c r="AG12" s="26">
        <v>0</v>
      </c>
    </row>
    <row r="13" spans="1:35" ht="27.75" thickBot="1" x14ac:dyDescent="0.3">
      <c r="A13" s="28" t="s">
        <v>37</v>
      </c>
      <c r="B13" s="34" t="s">
        <v>51</v>
      </c>
      <c r="C13" s="30" t="s">
        <v>52</v>
      </c>
      <c r="D13" s="30" t="s">
        <v>53</v>
      </c>
      <c r="E13" s="31">
        <v>0</v>
      </c>
      <c r="F13" s="31">
        <v>3</v>
      </c>
      <c r="G13" s="31">
        <v>0</v>
      </c>
      <c r="H13" s="31">
        <v>0</v>
      </c>
      <c r="I13" s="32">
        <v>0</v>
      </c>
      <c r="J13" s="32">
        <v>0</v>
      </c>
      <c r="K13" s="24">
        <v>0</v>
      </c>
      <c r="L13" s="31">
        <v>0</v>
      </c>
      <c r="M13" s="32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2">
        <v>0</v>
      </c>
      <c r="T13" s="31">
        <v>0</v>
      </c>
      <c r="U13" s="31">
        <v>0</v>
      </c>
      <c r="V13" s="31">
        <v>0</v>
      </c>
      <c r="W13" s="32">
        <v>0</v>
      </c>
      <c r="X13" s="31">
        <v>0</v>
      </c>
      <c r="Y13" s="32">
        <v>0</v>
      </c>
      <c r="Z13" s="33">
        <v>0</v>
      </c>
      <c r="AA13" s="3"/>
      <c r="AB13" s="26">
        <v>8</v>
      </c>
      <c r="AC13" s="26"/>
      <c r="AD13" s="26">
        <v>1</v>
      </c>
      <c r="AE13" s="26">
        <v>1</v>
      </c>
      <c r="AF13" s="26"/>
      <c r="AG13" s="26">
        <v>1</v>
      </c>
    </row>
    <row r="14" spans="1:35" ht="27.75" thickBot="1" x14ac:dyDescent="0.3">
      <c r="A14" s="28" t="s">
        <v>37</v>
      </c>
      <c r="B14" s="29" t="s">
        <v>54</v>
      </c>
      <c r="C14" s="30" t="s">
        <v>55</v>
      </c>
      <c r="D14" s="30" t="s">
        <v>40</v>
      </c>
      <c r="E14" s="31">
        <v>0</v>
      </c>
      <c r="F14" s="31">
        <v>3</v>
      </c>
      <c r="G14" s="31">
        <v>0</v>
      </c>
      <c r="H14" s="31">
        <v>0</v>
      </c>
      <c r="I14" s="32">
        <v>0</v>
      </c>
      <c r="J14" s="32">
        <v>0</v>
      </c>
      <c r="K14" s="24">
        <v>0</v>
      </c>
      <c r="L14" s="31">
        <v>0</v>
      </c>
      <c r="M14" s="32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2">
        <v>0</v>
      </c>
      <c r="T14" s="31">
        <v>0</v>
      </c>
      <c r="U14" s="31">
        <v>0</v>
      </c>
      <c r="V14" s="31">
        <v>0</v>
      </c>
      <c r="W14" s="32">
        <v>0</v>
      </c>
      <c r="X14" s="31">
        <v>0</v>
      </c>
      <c r="Y14" s="32">
        <v>0</v>
      </c>
      <c r="Z14" s="33">
        <v>0</v>
      </c>
      <c r="AA14" s="3"/>
      <c r="AB14" s="26">
        <v>10</v>
      </c>
      <c r="AC14" s="26">
        <v>2</v>
      </c>
      <c r="AD14" s="26">
        <v>1</v>
      </c>
      <c r="AE14" s="26">
        <v>1</v>
      </c>
      <c r="AF14" s="26">
        <v>1</v>
      </c>
      <c r="AG14" s="26">
        <v>1</v>
      </c>
    </row>
    <row r="15" spans="1:35" ht="27.75" thickBot="1" x14ac:dyDescent="0.3">
      <c r="A15" s="28" t="s">
        <v>37</v>
      </c>
      <c r="B15" s="29" t="s">
        <v>56</v>
      </c>
      <c r="C15" s="30" t="s">
        <v>57</v>
      </c>
      <c r="D15" s="30" t="s">
        <v>58</v>
      </c>
      <c r="E15" s="31">
        <v>0</v>
      </c>
      <c r="F15" s="31">
        <v>2</v>
      </c>
      <c r="G15" s="31">
        <v>0</v>
      </c>
      <c r="H15" s="31">
        <v>0</v>
      </c>
      <c r="I15" s="32">
        <v>0</v>
      </c>
      <c r="J15" s="32">
        <v>0</v>
      </c>
      <c r="K15" s="24">
        <v>0</v>
      </c>
      <c r="L15" s="31">
        <v>0</v>
      </c>
      <c r="M15" s="32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2">
        <v>0</v>
      </c>
      <c r="T15" s="31">
        <v>0</v>
      </c>
      <c r="U15" s="31">
        <v>0</v>
      </c>
      <c r="V15" s="31">
        <v>0</v>
      </c>
      <c r="W15" s="32">
        <v>0</v>
      </c>
      <c r="X15" s="31">
        <v>0</v>
      </c>
      <c r="Y15" s="32">
        <v>0</v>
      </c>
      <c r="Z15" s="33">
        <v>0</v>
      </c>
      <c r="AA15" s="3"/>
      <c r="AB15" s="26">
        <v>4</v>
      </c>
      <c r="AC15" s="26">
        <v>0</v>
      </c>
      <c r="AD15" s="26">
        <v>1</v>
      </c>
      <c r="AE15" s="26">
        <v>1</v>
      </c>
      <c r="AF15" s="26">
        <v>0</v>
      </c>
      <c r="AG15" s="26">
        <v>1</v>
      </c>
    </row>
    <row r="16" spans="1:35" ht="27.75" thickBot="1" x14ac:dyDescent="0.3">
      <c r="A16" s="28" t="s">
        <v>37</v>
      </c>
      <c r="B16" s="34" t="s">
        <v>51</v>
      </c>
      <c r="C16" s="30" t="s">
        <v>59</v>
      </c>
      <c r="D16" s="30" t="s">
        <v>60</v>
      </c>
      <c r="E16" s="31">
        <v>0</v>
      </c>
      <c r="F16" s="31">
        <v>3</v>
      </c>
      <c r="G16" s="31">
        <v>0</v>
      </c>
      <c r="H16" s="31">
        <v>0</v>
      </c>
      <c r="I16" s="32">
        <v>0</v>
      </c>
      <c r="J16" s="32">
        <v>0</v>
      </c>
      <c r="K16" s="24">
        <v>0</v>
      </c>
      <c r="L16" s="31">
        <v>1</v>
      </c>
      <c r="M16" s="32">
        <v>0</v>
      </c>
      <c r="N16" s="31">
        <v>0</v>
      </c>
      <c r="O16" s="31">
        <v>0</v>
      </c>
      <c r="P16" s="31">
        <v>0</v>
      </c>
      <c r="Q16" s="31">
        <v>0</v>
      </c>
      <c r="R16" s="31">
        <v>1</v>
      </c>
      <c r="S16" s="32">
        <v>0</v>
      </c>
      <c r="T16" s="31">
        <v>0</v>
      </c>
      <c r="U16" s="31">
        <v>0</v>
      </c>
      <c r="V16" s="31">
        <v>0</v>
      </c>
      <c r="W16" s="32">
        <v>0</v>
      </c>
      <c r="X16" s="31">
        <v>0</v>
      </c>
      <c r="Y16" s="32">
        <v>0</v>
      </c>
      <c r="Z16" s="33">
        <v>0</v>
      </c>
      <c r="AA16" s="3"/>
      <c r="AB16" s="35">
        <f>28</f>
        <v>28</v>
      </c>
      <c r="AC16" s="35">
        <v>4</v>
      </c>
      <c r="AD16" s="35">
        <v>1</v>
      </c>
      <c r="AE16" s="35">
        <v>1</v>
      </c>
      <c r="AF16" s="35">
        <v>1</v>
      </c>
      <c r="AG16" s="35">
        <f>4-4</f>
        <v>0</v>
      </c>
    </row>
    <row r="17" spans="1:33" ht="41.25" thickBot="1" x14ac:dyDescent="0.3">
      <c r="A17" s="28" t="s">
        <v>37</v>
      </c>
      <c r="B17" s="29" t="s">
        <v>61</v>
      </c>
      <c r="C17" s="30" t="s">
        <v>62</v>
      </c>
      <c r="D17" s="30" t="s">
        <v>60</v>
      </c>
      <c r="E17" s="31">
        <v>2</v>
      </c>
      <c r="F17" s="31">
        <v>3</v>
      </c>
      <c r="G17" s="31">
        <v>0</v>
      </c>
      <c r="H17" s="31">
        <v>0</v>
      </c>
      <c r="I17" s="32">
        <v>0</v>
      </c>
      <c r="J17" s="32">
        <v>0</v>
      </c>
      <c r="K17" s="24">
        <v>0</v>
      </c>
      <c r="L17" s="31">
        <v>0</v>
      </c>
      <c r="M17" s="32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2">
        <v>0</v>
      </c>
      <c r="T17" s="31">
        <v>0</v>
      </c>
      <c r="U17" s="31">
        <v>0</v>
      </c>
      <c r="V17" s="31">
        <v>0</v>
      </c>
      <c r="W17" s="32">
        <v>0</v>
      </c>
      <c r="X17" s="31">
        <v>0</v>
      </c>
      <c r="Y17" s="32">
        <v>0</v>
      </c>
      <c r="Z17" s="33">
        <v>0</v>
      </c>
      <c r="AA17" s="3"/>
      <c r="AB17" s="35">
        <v>32</v>
      </c>
      <c r="AC17" s="35">
        <v>5</v>
      </c>
      <c r="AD17" s="35">
        <v>3</v>
      </c>
      <c r="AE17" s="35">
        <v>3</v>
      </c>
      <c r="AF17" s="35">
        <v>1</v>
      </c>
      <c r="AG17" s="35">
        <f>3-3</f>
        <v>0</v>
      </c>
    </row>
    <row r="18" spans="1:33" ht="31.5" customHeight="1" thickBot="1" x14ac:dyDescent="0.3">
      <c r="A18" s="28" t="s">
        <v>37</v>
      </c>
      <c r="B18" s="34" t="s">
        <v>51</v>
      </c>
      <c r="C18" s="30" t="s">
        <v>63</v>
      </c>
      <c r="D18" s="30" t="s">
        <v>64</v>
      </c>
      <c r="E18" s="31">
        <v>0</v>
      </c>
      <c r="F18" s="31">
        <v>2</v>
      </c>
      <c r="G18" s="31">
        <v>0</v>
      </c>
      <c r="H18" s="31">
        <v>0</v>
      </c>
      <c r="I18" s="32">
        <v>0</v>
      </c>
      <c r="J18" s="32">
        <v>0</v>
      </c>
      <c r="K18" s="24">
        <v>0</v>
      </c>
      <c r="L18" s="31">
        <v>0</v>
      </c>
      <c r="M18" s="32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2">
        <v>0</v>
      </c>
      <c r="T18" s="31">
        <v>0</v>
      </c>
      <c r="U18" s="31">
        <v>0</v>
      </c>
      <c r="V18" s="31">
        <v>0</v>
      </c>
      <c r="W18" s="32">
        <v>0</v>
      </c>
      <c r="X18" s="31">
        <v>0</v>
      </c>
      <c r="Y18" s="32">
        <v>0</v>
      </c>
      <c r="Z18" s="33">
        <v>0</v>
      </c>
      <c r="AA18" s="3"/>
      <c r="AB18" s="26">
        <v>4</v>
      </c>
      <c r="AC18" s="26"/>
      <c r="AD18" s="26">
        <v>1</v>
      </c>
      <c r="AE18" s="26"/>
      <c r="AF18" s="26"/>
      <c r="AG18" s="26">
        <v>1</v>
      </c>
    </row>
    <row r="19" spans="1:33" ht="41.25" thickBot="1" x14ac:dyDescent="0.3">
      <c r="A19" s="28" t="s">
        <v>37</v>
      </c>
      <c r="B19" s="29" t="s">
        <v>65</v>
      </c>
      <c r="C19" s="30" t="s">
        <v>66</v>
      </c>
      <c r="D19" s="30" t="s">
        <v>40</v>
      </c>
      <c r="E19" s="31">
        <v>0</v>
      </c>
      <c r="F19" s="31">
        <v>2</v>
      </c>
      <c r="G19" s="31">
        <v>0</v>
      </c>
      <c r="H19" s="31">
        <v>0</v>
      </c>
      <c r="I19" s="32">
        <v>0</v>
      </c>
      <c r="J19" s="32">
        <v>0</v>
      </c>
      <c r="K19" s="24">
        <v>0</v>
      </c>
      <c r="L19" s="31">
        <v>0</v>
      </c>
      <c r="M19" s="32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2">
        <v>0</v>
      </c>
      <c r="T19" s="31">
        <v>0</v>
      </c>
      <c r="U19" s="31">
        <v>0</v>
      </c>
      <c r="V19" s="31">
        <v>0</v>
      </c>
      <c r="W19" s="32">
        <v>0</v>
      </c>
      <c r="X19" s="31">
        <v>0</v>
      </c>
      <c r="Y19" s="32">
        <v>0</v>
      </c>
      <c r="Z19" s="33">
        <v>0</v>
      </c>
      <c r="AA19" s="3"/>
      <c r="AB19" s="35">
        <v>8</v>
      </c>
      <c r="AC19" s="35">
        <v>0</v>
      </c>
      <c r="AD19" s="35">
        <v>1</v>
      </c>
      <c r="AE19" s="35">
        <v>1</v>
      </c>
      <c r="AF19" s="35">
        <v>0</v>
      </c>
      <c r="AG19" s="35">
        <f>1-1</f>
        <v>0</v>
      </c>
    </row>
    <row r="20" spans="1:33" ht="15.75" thickBot="1" x14ac:dyDescent="0.3">
      <c r="A20" s="28" t="s">
        <v>37</v>
      </c>
      <c r="B20" s="29" t="s">
        <v>67</v>
      </c>
      <c r="C20" s="36" t="s">
        <v>68</v>
      </c>
      <c r="D20" s="30" t="s">
        <v>40</v>
      </c>
      <c r="E20" s="31">
        <v>0</v>
      </c>
      <c r="F20" s="31">
        <v>2</v>
      </c>
      <c r="G20" s="31">
        <v>0</v>
      </c>
      <c r="H20" s="31">
        <v>0</v>
      </c>
      <c r="I20" s="32">
        <v>0</v>
      </c>
      <c r="J20" s="32">
        <v>0</v>
      </c>
      <c r="K20" s="24">
        <v>0</v>
      </c>
      <c r="L20" s="31">
        <v>1</v>
      </c>
      <c r="M20" s="32">
        <v>0</v>
      </c>
      <c r="N20" s="31">
        <v>0</v>
      </c>
      <c r="O20" s="31">
        <v>0</v>
      </c>
      <c r="P20" s="31">
        <v>0</v>
      </c>
      <c r="Q20" s="31">
        <v>1</v>
      </c>
      <c r="R20" s="31">
        <v>0</v>
      </c>
      <c r="S20" s="32">
        <v>0</v>
      </c>
      <c r="T20" s="31">
        <v>0</v>
      </c>
      <c r="U20" s="31">
        <v>0</v>
      </c>
      <c r="V20" s="31">
        <v>0</v>
      </c>
      <c r="W20" s="32">
        <v>0</v>
      </c>
      <c r="X20" s="31">
        <v>0</v>
      </c>
      <c r="Y20" s="32">
        <v>0</v>
      </c>
      <c r="Z20" s="33">
        <v>0</v>
      </c>
      <c r="AA20" s="3"/>
      <c r="AB20" s="26">
        <f>41-8</f>
        <v>33</v>
      </c>
      <c r="AC20" s="26">
        <v>1</v>
      </c>
      <c r="AD20" s="26">
        <v>2</v>
      </c>
      <c r="AE20" s="26">
        <v>2</v>
      </c>
      <c r="AF20" s="26">
        <v>1</v>
      </c>
      <c r="AG20" s="26">
        <v>4</v>
      </c>
    </row>
    <row r="21" spans="1:33" ht="27.75" thickBot="1" x14ac:dyDescent="0.3">
      <c r="A21" s="28" t="s">
        <v>37</v>
      </c>
      <c r="B21" s="29" t="s">
        <v>69</v>
      </c>
      <c r="C21" s="30" t="s">
        <v>70</v>
      </c>
      <c r="D21" s="30" t="s">
        <v>40</v>
      </c>
      <c r="E21" s="31">
        <v>0</v>
      </c>
      <c r="F21" s="31">
        <v>2</v>
      </c>
      <c r="G21" s="31">
        <v>0</v>
      </c>
      <c r="H21" s="31">
        <v>0</v>
      </c>
      <c r="I21" s="32">
        <v>0</v>
      </c>
      <c r="J21" s="32">
        <v>0</v>
      </c>
      <c r="K21" s="24">
        <v>0</v>
      </c>
      <c r="L21" s="31">
        <v>0</v>
      </c>
      <c r="M21" s="32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2">
        <v>0</v>
      </c>
      <c r="T21" s="31">
        <v>0</v>
      </c>
      <c r="U21" s="31">
        <v>0</v>
      </c>
      <c r="V21" s="31">
        <v>1</v>
      </c>
      <c r="W21" s="32">
        <v>0</v>
      </c>
      <c r="X21" s="31">
        <v>0</v>
      </c>
      <c r="Y21" s="32">
        <v>0</v>
      </c>
      <c r="Z21" s="33">
        <v>0</v>
      </c>
      <c r="AA21" s="3"/>
      <c r="AB21" s="26">
        <f>15</f>
        <v>15</v>
      </c>
      <c r="AC21" s="26">
        <v>0</v>
      </c>
      <c r="AD21" s="26">
        <v>1</v>
      </c>
      <c r="AE21" s="26">
        <v>1</v>
      </c>
      <c r="AF21" s="26">
        <v>1</v>
      </c>
      <c r="AG21" s="26">
        <v>4</v>
      </c>
    </row>
    <row r="22" spans="1:33" ht="27.75" thickBot="1" x14ac:dyDescent="0.3">
      <c r="A22" s="28" t="s">
        <v>37</v>
      </c>
      <c r="B22" s="29" t="s">
        <v>71</v>
      </c>
      <c r="C22" s="36" t="s">
        <v>72</v>
      </c>
      <c r="D22" s="30" t="s">
        <v>40</v>
      </c>
      <c r="E22" s="31">
        <v>0</v>
      </c>
      <c r="F22" s="31">
        <v>2</v>
      </c>
      <c r="G22" s="31">
        <v>0</v>
      </c>
      <c r="H22" s="31">
        <v>0</v>
      </c>
      <c r="I22" s="32">
        <v>0</v>
      </c>
      <c r="J22" s="32">
        <v>0</v>
      </c>
      <c r="K22" s="24">
        <v>0</v>
      </c>
      <c r="L22" s="31">
        <v>2</v>
      </c>
      <c r="M22" s="32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2">
        <v>0</v>
      </c>
      <c r="T22" s="31">
        <v>0</v>
      </c>
      <c r="U22" s="31">
        <v>0</v>
      </c>
      <c r="V22" s="31">
        <v>0</v>
      </c>
      <c r="W22" s="32">
        <v>0</v>
      </c>
      <c r="X22" s="31">
        <v>0</v>
      </c>
      <c r="Y22" s="32">
        <v>0</v>
      </c>
      <c r="Z22" s="33">
        <v>0</v>
      </c>
      <c r="AA22" s="3"/>
      <c r="AB22" s="26">
        <v>5</v>
      </c>
      <c r="AC22" s="26">
        <v>0</v>
      </c>
      <c r="AD22" s="26">
        <v>1</v>
      </c>
      <c r="AE22" s="26">
        <v>1</v>
      </c>
      <c r="AF22" s="26">
        <v>0</v>
      </c>
      <c r="AG22" s="26">
        <v>0</v>
      </c>
    </row>
    <row r="23" spans="1:33" ht="27.75" thickBot="1" x14ac:dyDescent="0.3">
      <c r="A23" s="28" t="s">
        <v>37</v>
      </c>
      <c r="B23" s="29" t="s">
        <v>73</v>
      </c>
      <c r="C23" s="30" t="s">
        <v>74</v>
      </c>
      <c r="D23" s="30" t="s">
        <v>40</v>
      </c>
      <c r="E23" s="31">
        <v>0</v>
      </c>
      <c r="F23" s="31">
        <v>2</v>
      </c>
      <c r="G23" s="31">
        <v>0</v>
      </c>
      <c r="H23" s="31">
        <v>0</v>
      </c>
      <c r="I23" s="32">
        <v>0</v>
      </c>
      <c r="J23" s="32">
        <v>0</v>
      </c>
      <c r="K23" s="24">
        <v>0</v>
      </c>
      <c r="L23" s="31">
        <v>0</v>
      </c>
      <c r="M23" s="32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2">
        <v>0</v>
      </c>
      <c r="T23" s="31">
        <v>0</v>
      </c>
      <c r="U23" s="31">
        <v>0</v>
      </c>
      <c r="V23" s="31">
        <v>0</v>
      </c>
      <c r="W23" s="32">
        <v>0</v>
      </c>
      <c r="X23" s="31">
        <v>0</v>
      </c>
      <c r="Y23" s="32">
        <v>0</v>
      </c>
      <c r="Z23" s="33">
        <v>0</v>
      </c>
      <c r="AA23" s="3"/>
      <c r="AB23" s="26">
        <v>13</v>
      </c>
      <c r="AC23" s="26">
        <v>0</v>
      </c>
      <c r="AD23" s="26">
        <v>1</v>
      </c>
      <c r="AE23" s="26">
        <v>1</v>
      </c>
      <c r="AF23" s="26">
        <v>1</v>
      </c>
      <c r="AG23" s="26">
        <v>2</v>
      </c>
    </row>
    <row r="24" spans="1:33" ht="27.75" thickBot="1" x14ac:dyDescent="0.3">
      <c r="A24" s="28" t="s">
        <v>37</v>
      </c>
      <c r="B24" s="29" t="s">
        <v>75</v>
      </c>
      <c r="C24" s="37" t="s">
        <v>76</v>
      </c>
      <c r="D24" s="30" t="s">
        <v>77</v>
      </c>
      <c r="E24" s="31">
        <v>0</v>
      </c>
      <c r="F24" s="31">
        <v>0</v>
      </c>
      <c r="G24" s="31">
        <v>0</v>
      </c>
      <c r="H24" s="31">
        <v>0</v>
      </c>
      <c r="I24" s="32">
        <v>0</v>
      </c>
      <c r="J24" s="32">
        <v>0</v>
      </c>
      <c r="K24" s="24">
        <v>0</v>
      </c>
      <c r="L24" s="31">
        <v>0</v>
      </c>
      <c r="M24" s="32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2">
        <v>0</v>
      </c>
      <c r="T24" s="31">
        <v>0</v>
      </c>
      <c r="U24" s="31">
        <v>0</v>
      </c>
      <c r="V24" s="31">
        <v>0</v>
      </c>
      <c r="W24" s="32">
        <v>0</v>
      </c>
      <c r="X24" s="31">
        <v>0</v>
      </c>
      <c r="Y24" s="32">
        <v>0</v>
      </c>
      <c r="Z24" s="33">
        <v>0</v>
      </c>
      <c r="AA24" s="3"/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</row>
    <row r="25" spans="1:33" ht="27.75" thickBot="1" x14ac:dyDescent="0.3">
      <c r="A25" s="28" t="s">
        <v>37</v>
      </c>
      <c r="B25" s="34" t="s">
        <v>78</v>
      </c>
      <c r="C25" s="37" t="s">
        <v>76</v>
      </c>
      <c r="D25" s="30" t="s">
        <v>77</v>
      </c>
      <c r="E25" s="31">
        <v>0</v>
      </c>
      <c r="F25" s="31">
        <v>3</v>
      </c>
      <c r="G25" s="31">
        <v>1</v>
      </c>
      <c r="H25" s="31">
        <v>0</v>
      </c>
      <c r="I25" s="32">
        <v>0</v>
      </c>
      <c r="J25" s="32">
        <v>0</v>
      </c>
      <c r="K25" s="24">
        <v>0</v>
      </c>
      <c r="L25" s="31">
        <v>0</v>
      </c>
      <c r="M25" s="32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2">
        <v>0</v>
      </c>
      <c r="T25" s="31">
        <v>0</v>
      </c>
      <c r="U25" s="31">
        <v>0</v>
      </c>
      <c r="V25" s="31">
        <v>0</v>
      </c>
      <c r="W25" s="32">
        <v>0</v>
      </c>
      <c r="X25" s="31">
        <v>0</v>
      </c>
      <c r="Y25" s="32">
        <v>0</v>
      </c>
      <c r="Z25" s="33">
        <v>0</v>
      </c>
      <c r="AA25" s="3"/>
      <c r="AB25" s="26">
        <v>25</v>
      </c>
      <c r="AC25" s="26">
        <v>0</v>
      </c>
      <c r="AD25" s="26">
        <v>2</v>
      </c>
      <c r="AE25" s="26">
        <v>2</v>
      </c>
      <c r="AF25" s="26">
        <v>1</v>
      </c>
      <c r="AG25" s="26">
        <v>2</v>
      </c>
    </row>
    <row r="26" spans="1:33" ht="41.25" thickBot="1" x14ac:dyDescent="0.3">
      <c r="A26" s="28" t="s">
        <v>37</v>
      </c>
      <c r="B26" s="34" t="s">
        <v>79</v>
      </c>
      <c r="C26" s="37" t="s">
        <v>80</v>
      </c>
      <c r="D26" s="30" t="s">
        <v>81</v>
      </c>
      <c r="E26" s="31">
        <v>0</v>
      </c>
      <c r="F26" s="31">
        <v>1</v>
      </c>
      <c r="G26" s="31">
        <v>0</v>
      </c>
      <c r="H26" s="31">
        <v>0</v>
      </c>
      <c r="I26" s="32">
        <v>0</v>
      </c>
      <c r="J26" s="32">
        <v>0</v>
      </c>
      <c r="K26" s="24">
        <v>0</v>
      </c>
      <c r="L26" s="31">
        <v>0</v>
      </c>
      <c r="M26" s="32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2">
        <v>0</v>
      </c>
      <c r="T26" s="31">
        <v>0</v>
      </c>
      <c r="U26" s="31">
        <v>0</v>
      </c>
      <c r="V26" s="31">
        <v>0</v>
      </c>
      <c r="W26" s="32">
        <v>0</v>
      </c>
      <c r="X26" s="31">
        <v>0</v>
      </c>
      <c r="Y26" s="32">
        <v>0</v>
      </c>
      <c r="Z26" s="33">
        <v>0</v>
      </c>
      <c r="AA26" s="3"/>
      <c r="AB26" s="26">
        <v>25</v>
      </c>
      <c r="AC26" s="26">
        <v>5</v>
      </c>
      <c r="AD26" s="26">
        <v>3</v>
      </c>
      <c r="AE26" s="26">
        <v>2</v>
      </c>
      <c r="AF26" s="26">
        <v>1</v>
      </c>
      <c r="AG26" s="26">
        <v>4</v>
      </c>
    </row>
    <row r="27" spans="1:33" ht="27.75" thickBot="1" x14ac:dyDescent="0.3">
      <c r="A27" s="28" t="s">
        <v>37</v>
      </c>
      <c r="B27" s="34" t="s">
        <v>82</v>
      </c>
      <c r="C27" s="37" t="s">
        <v>83</v>
      </c>
      <c r="D27" s="30" t="s">
        <v>40</v>
      </c>
      <c r="E27" s="31">
        <v>0</v>
      </c>
      <c r="F27" s="31">
        <v>1</v>
      </c>
      <c r="G27" s="31">
        <v>0</v>
      </c>
      <c r="H27" s="31">
        <v>0</v>
      </c>
      <c r="I27" s="32">
        <v>0</v>
      </c>
      <c r="J27" s="32">
        <v>0</v>
      </c>
      <c r="K27" s="24">
        <v>0</v>
      </c>
      <c r="L27" s="31">
        <v>0</v>
      </c>
      <c r="M27" s="32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2">
        <v>0</v>
      </c>
      <c r="T27" s="31">
        <v>0</v>
      </c>
      <c r="U27" s="31">
        <v>0</v>
      </c>
      <c r="V27" s="31">
        <v>0</v>
      </c>
      <c r="W27" s="32">
        <v>0</v>
      </c>
      <c r="X27" s="31">
        <v>0</v>
      </c>
      <c r="Y27" s="32">
        <v>0</v>
      </c>
      <c r="Z27" s="33">
        <v>0</v>
      </c>
      <c r="AA27" s="3"/>
      <c r="AB27" s="26">
        <f>42-7</f>
        <v>35</v>
      </c>
      <c r="AC27" s="26">
        <v>2</v>
      </c>
      <c r="AD27" s="26">
        <v>2</v>
      </c>
      <c r="AE27" s="26">
        <v>2</v>
      </c>
      <c r="AF27" s="26">
        <v>1</v>
      </c>
      <c r="AG27" s="26">
        <v>5</v>
      </c>
    </row>
    <row r="28" spans="1:33" ht="15.75" thickBot="1" x14ac:dyDescent="0.3">
      <c r="A28" s="28" t="s">
        <v>37</v>
      </c>
      <c r="B28" s="34" t="s">
        <v>82</v>
      </c>
      <c r="C28" s="37" t="s">
        <v>84</v>
      </c>
      <c r="D28" s="30" t="s">
        <v>40</v>
      </c>
      <c r="E28" s="31">
        <v>0</v>
      </c>
      <c r="F28" s="31">
        <v>3</v>
      </c>
      <c r="G28" s="31">
        <v>1</v>
      </c>
      <c r="H28" s="31">
        <v>0</v>
      </c>
      <c r="I28" s="32">
        <v>0</v>
      </c>
      <c r="J28" s="32">
        <v>0</v>
      </c>
      <c r="K28" s="24">
        <v>0</v>
      </c>
      <c r="L28" s="31">
        <v>0</v>
      </c>
      <c r="M28" s="32">
        <v>0</v>
      </c>
      <c r="N28" s="31">
        <v>0</v>
      </c>
      <c r="O28" s="31">
        <v>0</v>
      </c>
      <c r="P28" s="31">
        <v>0</v>
      </c>
      <c r="Q28" s="31">
        <v>1</v>
      </c>
      <c r="R28" s="31">
        <v>0</v>
      </c>
      <c r="S28" s="32">
        <v>0</v>
      </c>
      <c r="T28" s="31">
        <v>0</v>
      </c>
      <c r="U28" s="31">
        <v>0</v>
      </c>
      <c r="V28" s="31">
        <v>0</v>
      </c>
      <c r="W28" s="32">
        <v>0</v>
      </c>
      <c r="X28" s="31">
        <v>0</v>
      </c>
      <c r="Y28" s="32">
        <v>0</v>
      </c>
      <c r="Z28" s="33">
        <v>0</v>
      </c>
      <c r="AA28" s="3"/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</row>
    <row r="29" spans="1:33" ht="27.75" thickBot="1" x14ac:dyDescent="0.3">
      <c r="A29" s="28" t="s">
        <v>37</v>
      </c>
      <c r="B29" s="34" t="s">
        <v>85</v>
      </c>
      <c r="C29" s="37" t="s">
        <v>86</v>
      </c>
      <c r="D29" s="30" t="s">
        <v>40</v>
      </c>
      <c r="E29" s="31">
        <v>0</v>
      </c>
      <c r="F29" s="31">
        <v>4</v>
      </c>
      <c r="G29" s="31">
        <v>0</v>
      </c>
      <c r="H29" s="31">
        <v>0</v>
      </c>
      <c r="I29" s="32">
        <v>0</v>
      </c>
      <c r="J29" s="32">
        <v>0</v>
      </c>
      <c r="K29" s="24">
        <v>0</v>
      </c>
      <c r="L29" s="31">
        <v>0</v>
      </c>
      <c r="M29" s="32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2">
        <v>0</v>
      </c>
      <c r="T29" s="31">
        <v>0</v>
      </c>
      <c r="U29" s="31">
        <v>0</v>
      </c>
      <c r="V29" s="31">
        <v>0</v>
      </c>
      <c r="W29" s="32">
        <v>0</v>
      </c>
      <c r="X29" s="31">
        <v>0</v>
      </c>
      <c r="Y29" s="32">
        <v>0</v>
      </c>
      <c r="Z29" s="33">
        <v>0</v>
      </c>
      <c r="AA29" s="3"/>
      <c r="AB29" s="26">
        <v>21</v>
      </c>
      <c r="AC29" s="26">
        <v>4</v>
      </c>
      <c r="AD29" s="26">
        <v>1</v>
      </c>
      <c r="AE29" s="26">
        <v>0</v>
      </c>
      <c r="AF29" s="26">
        <v>1</v>
      </c>
      <c r="AG29" s="26">
        <v>2</v>
      </c>
    </row>
    <row r="30" spans="1:33" ht="95.25" thickBot="1" x14ac:dyDescent="0.3">
      <c r="A30" s="28" t="s">
        <v>37</v>
      </c>
      <c r="B30" s="34" t="s">
        <v>87</v>
      </c>
      <c r="C30" s="37" t="s">
        <v>88</v>
      </c>
      <c r="D30" s="30" t="s">
        <v>89</v>
      </c>
      <c r="E30" s="31">
        <v>1</v>
      </c>
      <c r="F30" s="31">
        <v>1</v>
      </c>
      <c r="G30" s="31">
        <v>0</v>
      </c>
      <c r="H30" s="31">
        <v>0</v>
      </c>
      <c r="I30" s="32">
        <v>0</v>
      </c>
      <c r="J30" s="32">
        <v>0</v>
      </c>
      <c r="K30" s="24">
        <v>0</v>
      </c>
      <c r="L30" s="31">
        <v>0</v>
      </c>
      <c r="M30" s="32">
        <v>0</v>
      </c>
      <c r="N30" s="31">
        <v>0</v>
      </c>
      <c r="O30" s="31">
        <v>0</v>
      </c>
      <c r="P30" s="31">
        <v>0</v>
      </c>
      <c r="Q30" s="31">
        <v>0</v>
      </c>
      <c r="R30" s="31">
        <v>1</v>
      </c>
      <c r="S30" s="32">
        <v>0</v>
      </c>
      <c r="T30" s="31">
        <v>0</v>
      </c>
      <c r="U30" s="31">
        <v>0</v>
      </c>
      <c r="V30" s="31">
        <v>0</v>
      </c>
      <c r="W30" s="32">
        <v>0</v>
      </c>
      <c r="X30" s="31">
        <v>0</v>
      </c>
      <c r="Y30" s="32">
        <v>0</v>
      </c>
      <c r="Z30" s="33">
        <v>0</v>
      </c>
      <c r="AA30" s="3"/>
      <c r="AB30" s="26">
        <v>16</v>
      </c>
      <c r="AC30" s="26"/>
      <c r="AD30" s="26">
        <v>1</v>
      </c>
      <c r="AE30" s="26">
        <v>1</v>
      </c>
      <c r="AF30" s="26"/>
      <c r="AG30" s="26">
        <v>1</v>
      </c>
    </row>
    <row r="31" spans="1:33" ht="95.25" thickBot="1" x14ac:dyDescent="0.3">
      <c r="A31" s="28" t="s">
        <v>37</v>
      </c>
      <c r="B31" s="34" t="s">
        <v>90</v>
      </c>
      <c r="C31" s="37" t="s">
        <v>88</v>
      </c>
      <c r="D31" s="30" t="s">
        <v>91</v>
      </c>
      <c r="E31" s="31">
        <v>0</v>
      </c>
      <c r="F31" s="31">
        <v>3</v>
      </c>
      <c r="G31" s="31">
        <v>0</v>
      </c>
      <c r="H31" s="31">
        <v>0</v>
      </c>
      <c r="I31" s="32">
        <v>0</v>
      </c>
      <c r="J31" s="32">
        <v>0</v>
      </c>
      <c r="K31" s="24">
        <v>0</v>
      </c>
      <c r="L31" s="31">
        <v>0</v>
      </c>
      <c r="M31" s="32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2">
        <v>0</v>
      </c>
      <c r="T31" s="31">
        <v>0</v>
      </c>
      <c r="U31" s="31">
        <v>0</v>
      </c>
      <c r="V31" s="31">
        <v>0</v>
      </c>
      <c r="W31" s="32">
        <v>0</v>
      </c>
      <c r="X31" s="31">
        <v>0</v>
      </c>
      <c r="Y31" s="32">
        <v>0</v>
      </c>
      <c r="Z31" s="33">
        <v>0</v>
      </c>
      <c r="AA31" s="38">
        <f>AA36*7.5</f>
        <v>4898705821.8776531</v>
      </c>
      <c r="AB31" s="26">
        <v>16</v>
      </c>
      <c r="AC31" s="26"/>
      <c r="AD31" s="26">
        <v>1</v>
      </c>
      <c r="AE31" s="26">
        <v>1</v>
      </c>
      <c r="AF31" s="26"/>
      <c r="AG31" s="26">
        <v>1</v>
      </c>
    </row>
    <row r="32" spans="1:33" ht="27.75" thickBot="1" x14ac:dyDescent="0.3">
      <c r="A32" s="28" t="s">
        <v>37</v>
      </c>
      <c r="B32" s="34" t="s">
        <v>92</v>
      </c>
      <c r="C32" s="37" t="s">
        <v>93</v>
      </c>
      <c r="D32" s="30" t="s">
        <v>40</v>
      </c>
      <c r="E32" s="31">
        <v>0</v>
      </c>
      <c r="F32" s="31">
        <v>2</v>
      </c>
      <c r="G32" s="31">
        <v>0</v>
      </c>
      <c r="H32" s="31">
        <v>0</v>
      </c>
      <c r="I32" s="32">
        <v>0</v>
      </c>
      <c r="J32" s="32">
        <v>0</v>
      </c>
      <c r="K32" s="24">
        <v>0</v>
      </c>
      <c r="L32" s="31">
        <v>0</v>
      </c>
      <c r="M32" s="32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1">
        <v>0</v>
      </c>
      <c r="U32" s="31">
        <v>0</v>
      </c>
      <c r="V32" s="31">
        <v>0</v>
      </c>
      <c r="W32" s="32">
        <v>0</v>
      </c>
      <c r="X32" s="31">
        <v>0</v>
      </c>
      <c r="Y32" s="32">
        <v>0</v>
      </c>
      <c r="Z32" s="33">
        <v>0</v>
      </c>
      <c r="AA32" s="3"/>
      <c r="AB32" s="26">
        <v>6</v>
      </c>
      <c r="AC32" s="26">
        <v>0</v>
      </c>
      <c r="AD32" s="26">
        <v>1</v>
      </c>
      <c r="AE32" s="26">
        <v>1</v>
      </c>
      <c r="AF32" s="26">
        <v>0</v>
      </c>
      <c r="AG32" s="26">
        <v>1</v>
      </c>
    </row>
    <row r="33" spans="1:33" ht="15.75" thickBot="1" x14ac:dyDescent="0.3">
      <c r="A33" s="202" t="s">
        <v>94</v>
      </c>
      <c r="B33" s="203"/>
      <c r="C33" s="203"/>
      <c r="D33" s="204"/>
      <c r="E33" s="39">
        <f t="shared" ref="E33:AG33" si="5">SUM(E7:E32)</f>
        <v>3</v>
      </c>
      <c r="F33" s="40">
        <f t="shared" si="5"/>
        <v>60</v>
      </c>
      <c r="G33" s="40">
        <f t="shared" si="5"/>
        <v>3</v>
      </c>
      <c r="H33" s="40">
        <f t="shared" si="5"/>
        <v>0</v>
      </c>
      <c r="I33" s="41">
        <f t="shared" si="5"/>
        <v>0</v>
      </c>
      <c r="J33" s="41">
        <f t="shared" si="5"/>
        <v>0</v>
      </c>
      <c r="K33" s="41"/>
      <c r="L33" s="40">
        <f t="shared" si="5"/>
        <v>4</v>
      </c>
      <c r="M33" s="41">
        <f t="shared" si="5"/>
        <v>0</v>
      </c>
      <c r="N33" s="40">
        <f t="shared" si="5"/>
        <v>2</v>
      </c>
      <c r="O33" s="40">
        <f t="shared" si="5"/>
        <v>0</v>
      </c>
      <c r="P33" s="40">
        <f t="shared" si="5"/>
        <v>0</v>
      </c>
      <c r="Q33" s="40">
        <f t="shared" si="5"/>
        <v>7</v>
      </c>
      <c r="R33" s="40">
        <f t="shared" si="5"/>
        <v>2</v>
      </c>
      <c r="S33" s="41">
        <f t="shared" si="5"/>
        <v>0</v>
      </c>
      <c r="T33" s="40">
        <f t="shared" si="5"/>
        <v>0</v>
      </c>
      <c r="U33" s="40">
        <f t="shared" si="5"/>
        <v>0</v>
      </c>
      <c r="V33" s="40">
        <f t="shared" si="5"/>
        <v>1</v>
      </c>
      <c r="W33" s="41">
        <f t="shared" si="5"/>
        <v>0</v>
      </c>
      <c r="X33" s="40">
        <f t="shared" si="5"/>
        <v>0</v>
      </c>
      <c r="Y33" s="41">
        <f t="shared" si="5"/>
        <v>0</v>
      </c>
      <c r="Z33" s="42">
        <f t="shared" si="5"/>
        <v>0</v>
      </c>
      <c r="AA33" s="43">
        <f>SUM(E33:Z33)</f>
        <v>82</v>
      </c>
      <c r="AB33" s="44">
        <f t="shared" si="5"/>
        <v>390</v>
      </c>
      <c r="AC33" s="44">
        <f t="shared" si="5"/>
        <v>23</v>
      </c>
      <c r="AD33" s="44">
        <f t="shared" si="5"/>
        <v>32</v>
      </c>
      <c r="AE33" s="44">
        <f t="shared" si="5"/>
        <v>29</v>
      </c>
      <c r="AF33" s="44">
        <f t="shared" si="5"/>
        <v>12</v>
      </c>
      <c r="AG33" s="44">
        <f t="shared" si="5"/>
        <v>38</v>
      </c>
    </row>
    <row r="34" spans="1:33" ht="15.75" thickBot="1" x14ac:dyDescent="0.3">
      <c r="A34" s="45"/>
      <c r="B34" s="46"/>
      <c r="C34" s="46"/>
      <c r="D34" s="46"/>
      <c r="E34" s="47"/>
      <c r="F34" s="47"/>
      <c r="G34" s="47"/>
      <c r="H34" s="47"/>
      <c r="I34" s="48"/>
      <c r="J34" s="48"/>
      <c r="K34" s="48"/>
      <c r="L34" s="47"/>
      <c r="M34" s="48"/>
      <c r="N34" s="47"/>
      <c r="O34" s="47"/>
      <c r="P34" s="47"/>
      <c r="Q34" s="47"/>
      <c r="R34" s="47"/>
      <c r="S34" s="48"/>
      <c r="T34" s="47"/>
      <c r="U34" s="47"/>
      <c r="V34" s="47"/>
      <c r="W34" s="48"/>
      <c r="X34" s="47"/>
      <c r="Y34" s="48"/>
      <c r="Z34" s="49"/>
      <c r="AA34" s="50">
        <f>SUM(E34:Z34)</f>
        <v>0</v>
      </c>
      <c r="AB34" s="51"/>
      <c r="AC34" s="51"/>
      <c r="AD34" s="51"/>
      <c r="AE34" s="51"/>
      <c r="AF34" s="51"/>
      <c r="AG34" s="51"/>
    </row>
    <row r="35" spans="1:33" ht="15.75" thickBot="1" x14ac:dyDescent="0.3">
      <c r="A35" s="45"/>
      <c r="B35" s="199" t="s">
        <v>95</v>
      </c>
      <c r="C35" s="199"/>
      <c r="D35" s="46"/>
      <c r="E35" s="47"/>
      <c r="F35" s="47"/>
      <c r="G35" s="47"/>
      <c r="H35" s="47"/>
      <c r="I35" s="48"/>
      <c r="J35" s="48"/>
      <c r="K35" s="48"/>
      <c r="L35" s="47"/>
      <c r="M35" s="48"/>
      <c r="N35" s="47"/>
      <c r="O35" s="47"/>
      <c r="P35" s="47"/>
      <c r="Q35" s="47"/>
      <c r="R35" s="47"/>
      <c r="S35" s="48"/>
      <c r="T35" s="47"/>
      <c r="U35" s="47"/>
      <c r="V35" s="47"/>
      <c r="W35" s="48"/>
      <c r="X35" s="47"/>
      <c r="Y35" s="48"/>
      <c r="Z35" s="49"/>
      <c r="AA35" s="53">
        <f>SUM(E35:Z35)</f>
        <v>0</v>
      </c>
      <c r="AB35" s="51"/>
      <c r="AC35" s="51"/>
      <c r="AD35" s="51"/>
      <c r="AE35" s="51"/>
      <c r="AF35" s="51"/>
      <c r="AG35" s="51"/>
    </row>
    <row r="36" spans="1:33" s="59" customFormat="1" ht="15.75" thickBot="1" x14ac:dyDescent="0.3">
      <c r="A36" s="205" t="s">
        <v>96</v>
      </c>
      <c r="B36" s="206"/>
      <c r="C36" s="206"/>
      <c r="D36" s="206"/>
      <c r="E36" s="54">
        <f t="shared" ref="E36:J36" si="6">E33*E5</f>
        <v>27068580.416954994</v>
      </c>
      <c r="F36" s="54">
        <f t="shared" si="6"/>
        <v>531528488.18748003</v>
      </c>
      <c r="G36" s="54">
        <f t="shared" si="6"/>
        <v>26576424.409373999</v>
      </c>
      <c r="H36" s="54">
        <f t="shared" si="6"/>
        <v>0</v>
      </c>
      <c r="I36" s="55">
        <f t="shared" si="6"/>
        <v>0</v>
      </c>
      <c r="J36" s="55">
        <f t="shared" si="6"/>
        <v>0</v>
      </c>
      <c r="K36" s="55"/>
      <c r="L36" s="54">
        <f>L33*L5</f>
        <v>21928610.453271605</v>
      </c>
      <c r="M36" s="55">
        <f>M33*M5</f>
        <v>0</v>
      </c>
      <c r="N36" s="54">
        <f t="shared" ref="N36:Z36" si="7">N33*N5</f>
        <v>9397975.9085449707</v>
      </c>
      <c r="O36" s="54">
        <f t="shared" si="7"/>
        <v>0</v>
      </c>
      <c r="P36" s="54">
        <f t="shared" si="7"/>
        <v>0</v>
      </c>
      <c r="Q36" s="54">
        <f t="shared" si="7"/>
        <v>23349637.618008159</v>
      </c>
      <c r="R36" s="54">
        <f t="shared" si="7"/>
        <v>9934403.7335799467</v>
      </c>
      <c r="S36" s="55">
        <f t="shared" si="7"/>
        <v>0</v>
      </c>
      <c r="T36" s="54">
        <f t="shared" si="7"/>
        <v>0</v>
      </c>
      <c r="U36" s="54">
        <f t="shared" si="7"/>
        <v>0</v>
      </c>
      <c r="V36" s="54">
        <f t="shared" si="7"/>
        <v>3376655.5231401003</v>
      </c>
      <c r="W36" s="55">
        <f t="shared" si="7"/>
        <v>0</v>
      </c>
      <c r="X36" s="54">
        <f t="shared" si="7"/>
        <v>0</v>
      </c>
      <c r="Y36" s="55">
        <f t="shared" si="7"/>
        <v>0</v>
      </c>
      <c r="Z36" s="56">
        <f t="shared" si="7"/>
        <v>0</v>
      </c>
      <c r="AA36" s="57">
        <f>SUM(E36:Z36)</f>
        <v>653160776.25035381</v>
      </c>
      <c r="AB36" s="58">
        <f t="shared" ref="AB36:AG36" si="8">AB33*AB5</f>
        <v>5497594.5266666673</v>
      </c>
      <c r="AC36" s="58">
        <f t="shared" si="8"/>
        <v>1260223.6717777778</v>
      </c>
      <c r="AD36" s="58">
        <f t="shared" si="8"/>
        <v>2246105.6426666668</v>
      </c>
      <c r="AE36" s="58">
        <f t="shared" si="8"/>
        <v>1478032.6244444442</v>
      </c>
      <c r="AF36" s="58">
        <f t="shared" si="8"/>
        <v>1928610.4693333334</v>
      </c>
      <c r="AG36" s="58">
        <f t="shared" si="8"/>
        <v>2055146.5013333336</v>
      </c>
    </row>
    <row r="37" spans="1:33" ht="15.75" thickBot="1" x14ac:dyDescent="0.3">
      <c r="A37" s="20" t="s">
        <v>97</v>
      </c>
      <c r="B37" s="21" t="s">
        <v>98</v>
      </c>
      <c r="C37" s="22" t="s">
        <v>99</v>
      </c>
      <c r="D37" s="22" t="s">
        <v>100</v>
      </c>
      <c r="E37" s="23">
        <v>0</v>
      </c>
      <c r="F37" s="23">
        <v>1</v>
      </c>
      <c r="G37" s="23">
        <v>0</v>
      </c>
      <c r="H37" s="23">
        <v>0</v>
      </c>
      <c r="I37" s="24">
        <v>0</v>
      </c>
      <c r="J37" s="24">
        <v>0</v>
      </c>
      <c r="K37" s="24">
        <v>0</v>
      </c>
      <c r="L37" s="23">
        <v>0</v>
      </c>
      <c r="M37" s="24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4">
        <v>0</v>
      </c>
      <c r="T37" s="23">
        <v>0</v>
      </c>
      <c r="U37" s="23">
        <v>0</v>
      </c>
      <c r="V37" s="23">
        <v>0</v>
      </c>
      <c r="W37" s="24">
        <v>0</v>
      </c>
      <c r="X37" s="23">
        <v>0</v>
      </c>
      <c r="Y37" s="24">
        <v>0</v>
      </c>
      <c r="Z37" s="25">
        <v>0</v>
      </c>
      <c r="AA37" s="38"/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</row>
    <row r="38" spans="1:33" ht="25.5" customHeight="1" thickBot="1" x14ac:dyDescent="0.3">
      <c r="A38" s="28" t="s">
        <v>97</v>
      </c>
      <c r="B38" s="29" t="s">
        <v>101</v>
      </c>
      <c r="C38" s="30" t="s">
        <v>99</v>
      </c>
      <c r="D38" s="30" t="s">
        <v>100</v>
      </c>
      <c r="E38" s="31">
        <v>0</v>
      </c>
      <c r="F38" s="31">
        <v>4</v>
      </c>
      <c r="G38" s="31">
        <v>1</v>
      </c>
      <c r="H38" s="31">
        <v>0</v>
      </c>
      <c r="I38" s="32">
        <v>0</v>
      </c>
      <c r="J38" s="32">
        <v>0</v>
      </c>
      <c r="K38" s="24">
        <v>0</v>
      </c>
      <c r="L38" s="31">
        <v>0</v>
      </c>
      <c r="M38" s="32">
        <v>0</v>
      </c>
      <c r="N38" s="31">
        <v>1</v>
      </c>
      <c r="O38" s="31">
        <v>0</v>
      </c>
      <c r="P38" s="31">
        <v>0</v>
      </c>
      <c r="Q38" s="31">
        <v>0</v>
      </c>
      <c r="R38" s="31">
        <v>0</v>
      </c>
      <c r="S38" s="32">
        <v>0</v>
      </c>
      <c r="T38" s="31">
        <v>0</v>
      </c>
      <c r="U38" s="31">
        <v>0</v>
      </c>
      <c r="V38" s="31">
        <v>0</v>
      </c>
      <c r="W38" s="32">
        <v>0</v>
      </c>
      <c r="X38" s="31">
        <v>0</v>
      </c>
      <c r="Y38" s="32">
        <v>0</v>
      </c>
      <c r="Z38" s="33">
        <v>0</v>
      </c>
      <c r="AA38" s="3"/>
      <c r="AB38" s="26">
        <v>60</v>
      </c>
      <c r="AC38" s="26">
        <v>6</v>
      </c>
      <c r="AD38" s="26">
        <v>2</v>
      </c>
      <c r="AE38" s="26">
        <v>2</v>
      </c>
      <c r="AF38" s="26">
        <v>1</v>
      </c>
      <c r="AG38" s="26">
        <v>5</v>
      </c>
    </row>
    <row r="39" spans="1:33" ht="25.5" customHeight="1" thickBot="1" x14ac:dyDescent="0.3">
      <c r="A39" s="28" t="s">
        <v>97</v>
      </c>
      <c r="B39" s="29" t="s">
        <v>101</v>
      </c>
      <c r="C39" s="30" t="s">
        <v>99</v>
      </c>
      <c r="D39" s="30" t="s">
        <v>100</v>
      </c>
      <c r="E39" s="31">
        <v>0</v>
      </c>
      <c r="F39" s="31">
        <v>2</v>
      </c>
      <c r="G39" s="31">
        <v>0</v>
      </c>
      <c r="H39" s="31">
        <v>0</v>
      </c>
      <c r="I39" s="32">
        <v>0</v>
      </c>
      <c r="J39" s="32">
        <v>0</v>
      </c>
      <c r="K39" s="24">
        <v>0</v>
      </c>
      <c r="L39" s="31">
        <v>0</v>
      </c>
      <c r="M39" s="32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2">
        <v>0</v>
      </c>
      <c r="T39" s="31">
        <v>0</v>
      </c>
      <c r="U39" s="31">
        <v>0</v>
      </c>
      <c r="V39" s="31">
        <v>0</v>
      </c>
      <c r="W39" s="32">
        <v>0</v>
      </c>
      <c r="X39" s="31">
        <v>0</v>
      </c>
      <c r="Y39" s="32">
        <v>0</v>
      </c>
      <c r="Z39" s="33">
        <v>0</v>
      </c>
      <c r="AA39" s="3"/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</row>
    <row r="40" spans="1:33" ht="40.5" customHeight="1" thickBot="1" x14ac:dyDescent="0.3">
      <c r="A40" s="28" t="s">
        <v>97</v>
      </c>
      <c r="B40" s="29" t="s">
        <v>102</v>
      </c>
      <c r="C40" s="30" t="s">
        <v>103</v>
      </c>
      <c r="D40" s="30" t="s">
        <v>104</v>
      </c>
      <c r="E40" s="31">
        <v>0</v>
      </c>
      <c r="F40" s="31">
        <v>1</v>
      </c>
      <c r="G40" s="31">
        <v>0</v>
      </c>
      <c r="H40" s="31">
        <v>0</v>
      </c>
      <c r="I40" s="32">
        <v>0</v>
      </c>
      <c r="J40" s="32">
        <v>0</v>
      </c>
      <c r="K40" s="24">
        <v>0</v>
      </c>
      <c r="L40" s="31">
        <v>0</v>
      </c>
      <c r="M40" s="32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2">
        <v>0</v>
      </c>
      <c r="T40" s="31">
        <v>0</v>
      </c>
      <c r="U40" s="31">
        <v>0</v>
      </c>
      <c r="V40" s="31">
        <v>0</v>
      </c>
      <c r="W40" s="32">
        <v>0</v>
      </c>
      <c r="X40" s="31">
        <v>0</v>
      </c>
      <c r="Y40" s="32">
        <v>0</v>
      </c>
      <c r="Z40" s="33">
        <v>0</v>
      </c>
      <c r="AA40" s="3"/>
      <c r="AB40" s="26">
        <v>6</v>
      </c>
      <c r="AC40" s="26">
        <v>0</v>
      </c>
      <c r="AD40" s="26">
        <v>1</v>
      </c>
      <c r="AE40" s="26">
        <v>1</v>
      </c>
      <c r="AF40" s="26">
        <v>0</v>
      </c>
      <c r="AG40" s="26">
        <v>0</v>
      </c>
    </row>
    <row r="41" spans="1:33" ht="27.75" thickBot="1" x14ac:dyDescent="0.3">
      <c r="A41" s="28" t="s">
        <v>97</v>
      </c>
      <c r="B41" s="29" t="s">
        <v>105</v>
      </c>
      <c r="C41" s="30" t="s">
        <v>106</v>
      </c>
      <c r="D41" s="30" t="s">
        <v>107</v>
      </c>
      <c r="E41" s="31">
        <v>0</v>
      </c>
      <c r="F41" s="31">
        <v>1</v>
      </c>
      <c r="G41" s="31">
        <v>0</v>
      </c>
      <c r="H41" s="31">
        <v>0</v>
      </c>
      <c r="I41" s="32">
        <v>0</v>
      </c>
      <c r="J41" s="32">
        <v>0</v>
      </c>
      <c r="K41" s="24">
        <v>0</v>
      </c>
      <c r="L41" s="31">
        <v>0</v>
      </c>
      <c r="M41" s="32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2">
        <v>0</v>
      </c>
      <c r="T41" s="31">
        <v>0</v>
      </c>
      <c r="U41" s="31">
        <v>0</v>
      </c>
      <c r="V41" s="31">
        <v>0</v>
      </c>
      <c r="W41" s="32">
        <v>0</v>
      </c>
      <c r="X41" s="31">
        <v>0</v>
      </c>
      <c r="Y41" s="32">
        <v>0</v>
      </c>
      <c r="Z41" s="33">
        <v>0</v>
      </c>
      <c r="AA41" s="3"/>
      <c r="AB41" s="61">
        <v>11</v>
      </c>
      <c r="AC41" s="61">
        <v>1</v>
      </c>
      <c r="AD41" s="61">
        <v>1</v>
      </c>
      <c r="AE41" s="61">
        <v>1</v>
      </c>
      <c r="AF41" s="61">
        <v>0</v>
      </c>
      <c r="AG41" s="61">
        <v>2</v>
      </c>
    </row>
    <row r="42" spans="1:33" ht="27.75" thickBot="1" x14ac:dyDescent="0.3">
      <c r="A42" s="28" t="s">
        <v>97</v>
      </c>
      <c r="B42" s="29" t="s">
        <v>108</v>
      </c>
      <c r="C42" s="30" t="s">
        <v>109</v>
      </c>
      <c r="D42" s="30" t="s">
        <v>110</v>
      </c>
      <c r="E42" s="31">
        <v>0</v>
      </c>
      <c r="F42" s="31">
        <v>1</v>
      </c>
      <c r="G42" s="31">
        <v>0</v>
      </c>
      <c r="H42" s="31">
        <v>0</v>
      </c>
      <c r="I42" s="32">
        <v>0</v>
      </c>
      <c r="J42" s="32">
        <v>0</v>
      </c>
      <c r="K42" s="24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2">
        <v>0</v>
      </c>
      <c r="T42" s="31">
        <v>0</v>
      </c>
      <c r="U42" s="31">
        <v>0</v>
      </c>
      <c r="V42" s="31">
        <v>0</v>
      </c>
      <c r="W42" s="32">
        <v>0</v>
      </c>
      <c r="X42" s="31">
        <v>0</v>
      </c>
      <c r="Y42" s="32">
        <v>0</v>
      </c>
      <c r="Z42" s="33">
        <v>0</v>
      </c>
      <c r="AA42" s="3"/>
      <c r="AB42" s="26">
        <v>11</v>
      </c>
      <c r="AC42" s="26">
        <v>1</v>
      </c>
      <c r="AD42" s="26">
        <v>1</v>
      </c>
      <c r="AE42" s="26">
        <v>1</v>
      </c>
      <c r="AF42" s="26">
        <v>1</v>
      </c>
      <c r="AG42" s="26">
        <v>0</v>
      </c>
    </row>
    <row r="43" spans="1:33" ht="15.75" thickBot="1" x14ac:dyDescent="0.3">
      <c r="A43" s="28" t="s">
        <v>97</v>
      </c>
      <c r="B43" s="29" t="s">
        <v>111</v>
      </c>
      <c r="C43" s="30" t="s">
        <v>112</v>
      </c>
      <c r="D43" s="30" t="s">
        <v>104</v>
      </c>
      <c r="E43" s="31">
        <v>0</v>
      </c>
      <c r="F43" s="31">
        <v>4</v>
      </c>
      <c r="G43" s="31">
        <v>1</v>
      </c>
      <c r="H43" s="31">
        <v>0</v>
      </c>
      <c r="I43" s="32">
        <v>0</v>
      </c>
      <c r="J43" s="32">
        <v>0</v>
      </c>
      <c r="K43" s="24">
        <v>0</v>
      </c>
      <c r="L43" s="31">
        <v>0</v>
      </c>
      <c r="M43" s="32">
        <v>0</v>
      </c>
      <c r="N43" s="31">
        <v>1</v>
      </c>
      <c r="O43" s="31">
        <v>0</v>
      </c>
      <c r="P43" s="31">
        <v>0</v>
      </c>
      <c r="Q43" s="31">
        <v>0</v>
      </c>
      <c r="R43" s="31">
        <v>0</v>
      </c>
      <c r="S43" s="32">
        <v>0</v>
      </c>
      <c r="T43" s="31">
        <v>0</v>
      </c>
      <c r="U43" s="31">
        <v>0</v>
      </c>
      <c r="V43" s="31">
        <v>0</v>
      </c>
      <c r="W43" s="32">
        <v>0</v>
      </c>
      <c r="X43" s="31">
        <v>0</v>
      </c>
      <c r="Y43" s="32">
        <v>0</v>
      </c>
      <c r="Z43" s="33">
        <v>0</v>
      </c>
      <c r="AA43" s="3"/>
      <c r="AB43" s="26">
        <f>23-13</f>
        <v>10</v>
      </c>
      <c r="AC43" s="26">
        <f>2-1</f>
        <v>1</v>
      </c>
      <c r="AD43" s="26">
        <v>1</v>
      </c>
      <c r="AE43" s="26">
        <v>1</v>
      </c>
      <c r="AF43" s="26">
        <v>1</v>
      </c>
      <c r="AG43" s="26">
        <f>5-1</f>
        <v>4</v>
      </c>
    </row>
    <row r="44" spans="1:33" ht="15.75" thickBot="1" x14ac:dyDescent="0.3">
      <c r="A44" s="28" t="s">
        <v>97</v>
      </c>
      <c r="B44" s="29" t="s">
        <v>113</v>
      </c>
      <c r="C44" s="30" t="s">
        <v>114</v>
      </c>
      <c r="D44" s="30" t="s">
        <v>104</v>
      </c>
      <c r="E44" s="31">
        <v>0</v>
      </c>
      <c r="F44" s="31">
        <v>3</v>
      </c>
      <c r="G44" s="31">
        <v>1</v>
      </c>
      <c r="H44" s="31">
        <v>0</v>
      </c>
      <c r="I44" s="32">
        <v>0</v>
      </c>
      <c r="J44" s="32">
        <v>0</v>
      </c>
      <c r="K44" s="24">
        <v>0</v>
      </c>
      <c r="L44" s="31">
        <v>0</v>
      </c>
      <c r="M44" s="32">
        <v>0</v>
      </c>
      <c r="N44" s="31">
        <v>1</v>
      </c>
      <c r="O44" s="31">
        <v>0</v>
      </c>
      <c r="P44" s="31">
        <v>0</v>
      </c>
      <c r="Q44" s="31">
        <v>0</v>
      </c>
      <c r="R44" s="31">
        <v>1</v>
      </c>
      <c r="S44" s="32">
        <v>0</v>
      </c>
      <c r="T44" s="31">
        <v>0</v>
      </c>
      <c r="U44" s="31">
        <v>0</v>
      </c>
      <c r="V44" s="31">
        <v>0</v>
      </c>
      <c r="W44" s="32">
        <v>0</v>
      </c>
      <c r="X44" s="31">
        <v>0</v>
      </c>
      <c r="Y44" s="32">
        <v>0</v>
      </c>
      <c r="Z44" s="33">
        <v>0</v>
      </c>
      <c r="AA44" s="3"/>
      <c r="AB44" s="26">
        <f>28</f>
        <v>28</v>
      </c>
      <c r="AC44" s="26">
        <v>4</v>
      </c>
      <c r="AD44" s="26">
        <v>1</v>
      </c>
      <c r="AE44" s="26">
        <v>1</v>
      </c>
      <c r="AF44" s="26">
        <v>1</v>
      </c>
      <c r="AG44" s="26">
        <v>5</v>
      </c>
    </row>
    <row r="45" spans="1:33" ht="27.75" thickBot="1" x14ac:dyDescent="0.3">
      <c r="A45" s="28" t="s">
        <v>97</v>
      </c>
      <c r="B45" s="29" t="s">
        <v>115</v>
      </c>
      <c r="C45" s="30" t="s">
        <v>116</v>
      </c>
      <c r="D45" s="30" t="s">
        <v>104</v>
      </c>
      <c r="E45" s="31">
        <v>0</v>
      </c>
      <c r="F45" s="31">
        <v>1</v>
      </c>
      <c r="G45" s="31">
        <v>0</v>
      </c>
      <c r="H45" s="31">
        <v>0</v>
      </c>
      <c r="I45" s="32">
        <v>0</v>
      </c>
      <c r="J45" s="32">
        <v>0</v>
      </c>
      <c r="K45" s="24">
        <v>0</v>
      </c>
      <c r="L45" s="31">
        <v>0</v>
      </c>
      <c r="M45" s="32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2">
        <v>0</v>
      </c>
      <c r="T45" s="31">
        <v>0</v>
      </c>
      <c r="U45" s="31">
        <v>0</v>
      </c>
      <c r="V45" s="31">
        <v>0</v>
      </c>
      <c r="W45" s="32">
        <v>0</v>
      </c>
      <c r="X45" s="31">
        <v>0</v>
      </c>
      <c r="Y45" s="32">
        <v>0</v>
      </c>
      <c r="Z45" s="33">
        <v>0</v>
      </c>
      <c r="AA45" s="3"/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</row>
    <row r="46" spans="1:33" ht="15.75" thickBot="1" x14ac:dyDescent="0.3">
      <c r="A46" s="28" t="s">
        <v>97</v>
      </c>
      <c r="B46" s="29" t="s">
        <v>117</v>
      </c>
      <c r="C46" s="30" t="s">
        <v>118</v>
      </c>
      <c r="D46" s="30" t="s">
        <v>104</v>
      </c>
      <c r="E46" s="31">
        <v>0</v>
      </c>
      <c r="F46" s="31">
        <v>0</v>
      </c>
      <c r="G46" s="31">
        <v>0</v>
      </c>
      <c r="H46" s="31">
        <v>0</v>
      </c>
      <c r="I46" s="32">
        <v>0</v>
      </c>
      <c r="J46" s="32">
        <v>0</v>
      </c>
      <c r="K46" s="24">
        <v>0</v>
      </c>
      <c r="L46" s="31">
        <v>0</v>
      </c>
      <c r="M46" s="32">
        <v>0</v>
      </c>
      <c r="N46" s="31">
        <v>0</v>
      </c>
      <c r="O46" s="31">
        <v>1</v>
      </c>
      <c r="P46" s="31">
        <v>0</v>
      </c>
      <c r="Q46" s="31">
        <v>0</v>
      </c>
      <c r="R46" s="31">
        <v>0</v>
      </c>
      <c r="S46" s="32">
        <v>0</v>
      </c>
      <c r="T46" s="31">
        <v>1</v>
      </c>
      <c r="U46" s="31">
        <v>0</v>
      </c>
      <c r="V46" s="31">
        <v>0</v>
      </c>
      <c r="W46" s="32">
        <v>0</v>
      </c>
      <c r="X46" s="31">
        <v>0</v>
      </c>
      <c r="Y46" s="32">
        <v>0</v>
      </c>
      <c r="Z46" s="33">
        <v>0</v>
      </c>
      <c r="AA46" s="38">
        <f>AA51*7.5</f>
        <v>1738946485.8308263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</row>
    <row r="47" spans="1:33" ht="27.75" thickBot="1" x14ac:dyDescent="0.3">
      <c r="A47" s="62" t="s">
        <v>97</v>
      </c>
      <c r="B47" s="63" t="s">
        <v>119</v>
      </c>
      <c r="C47" s="64" t="s">
        <v>120</v>
      </c>
      <c r="D47" s="64" t="s">
        <v>104</v>
      </c>
      <c r="E47" s="65">
        <v>0</v>
      </c>
      <c r="F47" s="65">
        <v>1</v>
      </c>
      <c r="G47" s="65">
        <v>0</v>
      </c>
      <c r="H47" s="65">
        <v>0</v>
      </c>
      <c r="I47" s="66">
        <v>0</v>
      </c>
      <c r="J47" s="66">
        <v>0</v>
      </c>
      <c r="K47" s="24">
        <v>0</v>
      </c>
      <c r="L47" s="65">
        <v>0</v>
      </c>
      <c r="M47" s="66">
        <v>0</v>
      </c>
      <c r="N47" s="65">
        <v>0</v>
      </c>
      <c r="O47" s="65">
        <v>1</v>
      </c>
      <c r="P47" s="65">
        <v>0</v>
      </c>
      <c r="Q47" s="65">
        <v>0</v>
      </c>
      <c r="R47" s="65">
        <v>0</v>
      </c>
      <c r="S47" s="66">
        <v>0</v>
      </c>
      <c r="T47" s="65">
        <v>1</v>
      </c>
      <c r="U47" s="65">
        <v>0</v>
      </c>
      <c r="V47" s="65">
        <v>0</v>
      </c>
      <c r="W47" s="66">
        <v>0</v>
      </c>
      <c r="X47" s="65">
        <v>0</v>
      </c>
      <c r="Y47" s="66">
        <v>0</v>
      </c>
      <c r="Z47" s="67">
        <v>0</v>
      </c>
      <c r="AA47" s="3"/>
      <c r="AB47" s="26">
        <f>6</f>
        <v>6</v>
      </c>
      <c r="AC47" s="26">
        <v>1</v>
      </c>
      <c r="AD47" s="26">
        <v>1</v>
      </c>
      <c r="AE47" s="26">
        <v>1</v>
      </c>
      <c r="AF47" s="26">
        <v>0</v>
      </c>
      <c r="AG47" s="26">
        <v>0</v>
      </c>
    </row>
    <row r="48" spans="1:33" ht="15.75" thickBot="1" x14ac:dyDescent="0.3">
      <c r="A48" s="202" t="s">
        <v>94</v>
      </c>
      <c r="B48" s="203"/>
      <c r="C48" s="203"/>
      <c r="D48" s="204"/>
      <c r="E48" s="39">
        <f>SUM(E37:E47)</f>
        <v>0</v>
      </c>
      <c r="F48" s="40">
        <f>SUM(F37:F47)</f>
        <v>19</v>
      </c>
      <c r="G48" s="40">
        <f t="shared" ref="G48:AG48" si="9">SUM(G37:G47)</f>
        <v>3</v>
      </c>
      <c r="H48" s="40">
        <f t="shared" si="9"/>
        <v>0</v>
      </c>
      <c r="I48" s="41">
        <f t="shared" si="9"/>
        <v>0</v>
      </c>
      <c r="J48" s="41">
        <f t="shared" si="9"/>
        <v>0</v>
      </c>
      <c r="K48" s="41">
        <f t="shared" si="9"/>
        <v>0</v>
      </c>
      <c r="L48" s="40">
        <f t="shared" si="9"/>
        <v>0</v>
      </c>
      <c r="M48" s="41">
        <f t="shared" si="9"/>
        <v>0</v>
      </c>
      <c r="N48" s="40">
        <f t="shared" si="9"/>
        <v>3</v>
      </c>
      <c r="O48" s="40">
        <f t="shared" si="9"/>
        <v>2</v>
      </c>
      <c r="P48" s="40">
        <f t="shared" si="9"/>
        <v>0</v>
      </c>
      <c r="Q48" s="40">
        <f t="shared" si="9"/>
        <v>0</v>
      </c>
      <c r="R48" s="40">
        <f t="shared" si="9"/>
        <v>1</v>
      </c>
      <c r="S48" s="41">
        <f t="shared" si="9"/>
        <v>0</v>
      </c>
      <c r="T48" s="40">
        <f t="shared" si="9"/>
        <v>2</v>
      </c>
      <c r="U48" s="40">
        <f t="shared" si="9"/>
        <v>0</v>
      </c>
      <c r="V48" s="40">
        <f t="shared" si="9"/>
        <v>0</v>
      </c>
      <c r="W48" s="41">
        <f t="shared" si="9"/>
        <v>0</v>
      </c>
      <c r="X48" s="40">
        <f t="shared" si="9"/>
        <v>0</v>
      </c>
      <c r="Y48" s="41">
        <f t="shared" si="9"/>
        <v>0</v>
      </c>
      <c r="Z48" s="42">
        <f t="shared" si="9"/>
        <v>0</v>
      </c>
      <c r="AA48" s="43">
        <f>SUM(E48:Z48)</f>
        <v>30</v>
      </c>
      <c r="AB48" s="44">
        <f t="shared" si="9"/>
        <v>132</v>
      </c>
      <c r="AC48" s="44">
        <f t="shared" si="9"/>
        <v>14</v>
      </c>
      <c r="AD48" s="44">
        <f t="shared" si="9"/>
        <v>8</v>
      </c>
      <c r="AE48" s="44">
        <f t="shared" si="9"/>
        <v>8</v>
      </c>
      <c r="AF48" s="44">
        <f t="shared" si="9"/>
        <v>4</v>
      </c>
      <c r="AG48" s="44">
        <f t="shared" si="9"/>
        <v>16</v>
      </c>
    </row>
    <row r="49" spans="1:33" s="75" customFormat="1" ht="15.75" thickBot="1" x14ac:dyDescent="0.3">
      <c r="A49" s="68"/>
      <c r="B49" s="69"/>
      <c r="C49" s="69"/>
      <c r="D49" s="69"/>
      <c r="E49" s="70"/>
      <c r="F49" s="70"/>
      <c r="G49" s="70"/>
      <c r="H49" s="70"/>
      <c r="I49" s="71"/>
      <c r="J49" s="71"/>
      <c r="K49" s="71"/>
      <c r="L49" s="70"/>
      <c r="M49" s="71"/>
      <c r="N49" s="70"/>
      <c r="O49" s="70"/>
      <c r="P49" s="70"/>
      <c r="Q49" s="70"/>
      <c r="R49" s="70"/>
      <c r="S49" s="71"/>
      <c r="T49" s="70"/>
      <c r="U49" s="70"/>
      <c r="V49" s="70"/>
      <c r="W49" s="71"/>
      <c r="X49" s="70"/>
      <c r="Y49" s="71"/>
      <c r="Z49" s="72"/>
      <c r="AA49" s="73">
        <f>SUM(E49:Z49)</f>
        <v>0</v>
      </c>
      <c r="AB49" s="74"/>
      <c r="AC49" s="74"/>
      <c r="AD49" s="74"/>
      <c r="AE49" s="74"/>
      <c r="AF49" s="74"/>
      <c r="AG49" s="74"/>
    </row>
    <row r="50" spans="1:33" ht="15.75" thickBot="1" x14ac:dyDescent="0.3">
      <c r="A50" s="45"/>
      <c r="B50" s="199" t="s">
        <v>95</v>
      </c>
      <c r="C50" s="199"/>
      <c r="D50" s="46"/>
      <c r="E50" s="47"/>
      <c r="F50" s="47"/>
      <c r="G50" s="47"/>
      <c r="H50" s="47"/>
      <c r="I50" s="48"/>
      <c r="J50" s="48"/>
      <c r="K50" s="48"/>
      <c r="L50" s="47"/>
      <c r="M50" s="48"/>
      <c r="N50" s="47"/>
      <c r="O50" s="47"/>
      <c r="P50" s="47"/>
      <c r="Q50" s="47"/>
      <c r="R50" s="47"/>
      <c r="S50" s="48"/>
      <c r="T50" s="47"/>
      <c r="U50" s="47"/>
      <c r="V50" s="47"/>
      <c r="W50" s="48"/>
      <c r="X50" s="47"/>
      <c r="Y50" s="48"/>
      <c r="Z50" s="49"/>
      <c r="AA50" s="53">
        <f>SUM(E50:Z50)</f>
        <v>0</v>
      </c>
      <c r="AB50" s="74"/>
      <c r="AC50" s="74"/>
      <c r="AD50" s="74"/>
      <c r="AE50" s="74"/>
      <c r="AF50" s="74"/>
      <c r="AG50" s="74"/>
    </row>
    <row r="51" spans="1:33" ht="15.75" thickBot="1" x14ac:dyDescent="0.3">
      <c r="A51" s="205" t="s">
        <v>96</v>
      </c>
      <c r="B51" s="206"/>
      <c r="C51" s="206"/>
      <c r="D51" s="206"/>
      <c r="E51" s="54">
        <f t="shared" ref="E51:J51" si="10">E48*E5</f>
        <v>0</v>
      </c>
      <c r="F51" s="54">
        <f t="shared" si="10"/>
        <v>168317354.592702</v>
      </c>
      <c r="G51" s="54">
        <f t="shared" si="10"/>
        <v>26576424.409373999</v>
      </c>
      <c r="H51" s="54">
        <f t="shared" si="10"/>
        <v>0</v>
      </c>
      <c r="I51" s="55">
        <f t="shared" si="10"/>
        <v>0</v>
      </c>
      <c r="J51" s="55">
        <f t="shared" si="10"/>
        <v>0</v>
      </c>
      <c r="K51" s="55"/>
      <c r="L51" s="54">
        <f>L48*L5</f>
        <v>0</v>
      </c>
      <c r="M51" s="55">
        <f>M48*M5</f>
        <v>0</v>
      </c>
      <c r="N51" s="54">
        <f t="shared" ref="N51:Z51" si="11">N48*N5</f>
        <v>14096963.862817455</v>
      </c>
      <c r="O51" s="54">
        <f t="shared" si="11"/>
        <v>7783212.5393360546</v>
      </c>
      <c r="P51" s="54">
        <f t="shared" si="11"/>
        <v>0</v>
      </c>
      <c r="Q51" s="54">
        <f t="shared" si="11"/>
        <v>0</v>
      </c>
      <c r="R51" s="54">
        <f t="shared" si="11"/>
        <v>4967201.8667899733</v>
      </c>
      <c r="S51" s="55">
        <f t="shared" si="11"/>
        <v>0</v>
      </c>
      <c r="T51" s="54">
        <f t="shared" si="11"/>
        <v>10118374.173090689</v>
      </c>
      <c r="U51" s="54">
        <f t="shared" si="11"/>
        <v>0</v>
      </c>
      <c r="V51" s="54">
        <f t="shared" si="11"/>
        <v>0</v>
      </c>
      <c r="W51" s="55">
        <f t="shared" si="11"/>
        <v>0</v>
      </c>
      <c r="X51" s="54">
        <f t="shared" si="11"/>
        <v>0</v>
      </c>
      <c r="Y51" s="55">
        <f t="shared" si="11"/>
        <v>0</v>
      </c>
      <c r="Z51" s="56">
        <f t="shared" si="11"/>
        <v>0</v>
      </c>
      <c r="AA51" s="57">
        <f>SUM(E51:Z51)</f>
        <v>231859531.44411018</v>
      </c>
      <c r="AB51" s="77">
        <f t="shared" ref="AB51:AG51" si="12">AB48*AB5</f>
        <v>1860724.3013333336</v>
      </c>
      <c r="AC51" s="77">
        <f t="shared" si="12"/>
        <v>767092.66977777774</v>
      </c>
      <c r="AD51" s="77">
        <f t="shared" si="12"/>
        <v>561526.41066666669</v>
      </c>
      <c r="AE51" s="77">
        <f t="shared" si="12"/>
        <v>407733.13777777774</v>
      </c>
      <c r="AF51" s="77">
        <f t="shared" si="12"/>
        <v>642870.15644444444</v>
      </c>
      <c r="AG51" s="77">
        <f t="shared" si="12"/>
        <v>865324.84266666672</v>
      </c>
    </row>
    <row r="52" spans="1:33" ht="15.75" thickBot="1" x14ac:dyDescent="0.3">
      <c r="A52" s="20" t="s">
        <v>121</v>
      </c>
      <c r="B52" s="21" t="s">
        <v>98</v>
      </c>
      <c r="C52" s="22" t="s">
        <v>122</v>
      </c>
      <c r="D52" s="22" t="s">
        <v>123</v>
      </c>
      <c r="E52" s="23">
        <v>0</v>
      </c>
      <c r="F52" s="23">
        <v>2</v>
      </c>
      <c r="G52" s="23">
        <v>0</v>
      </c>
      <c r="H52" s="23">
        <v>0</v>
      </c>
      <c r="I52" s="24">
        <v>0</v>
      </c>
      <c r="J52" s="24">
        <v>0</v>
      </c>
      <c r="K52" s="24">
        <v>0</v>
      </c>
      <c r="L52" s="23">
        <v>0</v>
      </c>
      <c r="M52" s="24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4">
        <v>0</v>
      </c>
      <c r="T52" s="23">
        <v>0</v>
      </c>
      <c r="U52" s="23">
        <v>0</v>
      </c>
      <c r="V52" s="23">
        <v>0</v>
      </c>
      <c r="W52" s="24">
        <v>0</v>
      </c>
      <c r="X52" s="23">
        <v>0</v>
      </c>
      <c r="Y52" s="24">
        <v>0</v>
      </c>
      <c r="Z52" s="25">
        <v>0</v>
      </c>
      <c r="AA52" s="3"/>
      <c r="AB52" s="26">
        <v>2</v>
      </c>
      <c r="AC52" s="26">
        <v>0</v>
      </c>
      <c r="AD52" s="26">
        <v>0</v>
      </c>
      <c r="AE52" s="26">
        <v>1</v>
      </c>
      <c r="AF52" s="26">
        <v>1</v>
      </c>
      <c r="AG52" s="26">
        <v>0</v>
      </c>
    </row>
    <row r="53" spans="1:33" ht="15.75" thickBot="1" x14ac:dyDescent="0.3">
      <c r="A53" s="28" t="s">
        <v>121</v>
      </c>
      <c r="B53" s="29" t="s">
        <v>124</v>
      </c>
      <c r="C53" s="30" t="s">
        <v>122</v>
      </c>
      <c r="D53" s="30" t="s">
        <v>123</v>
      </c>
      <c r="E53" s="31">
        <v>0</v>
      </c>
      <c r="F53" s="31">
        <v>6</v>
      </c>
      <c r="G53" s="31">
        <v>0</v>
      </c>
      <c r="H53" s="31">
        <v>0</v>
      </c>
      <c r="I53" s="32">
        <v>0</v>
      </c>
      <c r="J53" s="32">
        <v>0</v>
      </c>
      <c r="K53" s="24">
        <v>0</v>
      </c>
      <c r="L53" s="31">
        <v>0</v>
      </c>
      <c r="M53" s="32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2">
        <v>0</v>
      </c>
      <c r="T53" s="31">
        <v>0</v>
      </c>
      <c r="U53" s="31">
        <v>0</v>
      </c>
      <c r="V53" s="31">
        <v>0</v>
      </c>
      <c r="W53" s="32">
        <v>0</v>
      </c>
      <c r="X53" s="31">
        <v>0</v>
      </c>
      <c r="Y53" s="32">
        <v>0</v>
      </c>
      <c r="Z53" s="33">
        <v>0</v>
      </c>
      <c r="AA53" s="3"/>
      <c r="AB53" s="26">
        <v>17</v>
      </c>
      <c r="AC53" s="26">
        <v>0</v>
      </c>
      <c r="AD53" s="26">
        <v>0</v>
      </c>
      <c r="AE53" s="26">
        <v>0</v>
      </c>
      <c r="AF53" s="26">
        <v>0</v>
      </c>
      <c r="AG53" s="26">
        <v>1</v>
      </c>
    </row>
    <row r="54" spans="1:33" ht="15.75" thickBot="1" x14ac:dyDescent="0.3">
      <c r="A54" s="28" t="s">
        <v>121</v>
      </c>
      <c r="B54" s="29" t="s">
        <v>124</v>
      </c>
      <c r="C54" s="30" t="s">
        <v>125</v>
      </c>
      <c r="D54" s="30" t="s">
        <v>123</v>
      </c>
      <c r="E54" s="31">
        <v>0</v>
      </c>
      <c r="F54" s="31">
        <v>1</v>
      </c>
      <c r="G54" s="31">
        <v>0</v>
      </c>
      <c r="H54" s="31">
        <v>0</v>
      </c>
      <c r="I54" s="32">
        <v>0</v>
      </c>
      <c r="J54" s="32">
        <v>0</v>
      </c>
      <c r="K54" s="24">
        <v>0</v>
      </c>
      <c r="L54" s="31">
        <v>0</v>
      </c>
      <c r="M54" s="32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2">
        <v>0</v>
      </c>
      <c r="T54" s="31">
        <v>0</v>
      </c>
      <c r="U54" s="31">
        <v>0</v>
      </c>
      <c r="V54" s="31">
        <v>0</v>
      </c>
      <c r="W54" s="32">
        <v>0</v>
      </c>
      <c r="X54" s="31">
        <v>0</v>
      </c>
      <c r="Y54" s="32">
        <v>0</v>
      </c>
      <c r="Z54" s="33">
        <v>0</v>
      </c>
      <c r="AA54" s="3"/>
      <c r="AB54" s="26"/>
      <c r="AC54" s="26"/>
      <c r="AD54" s="26"/>
      <c r="AE54" s="26"/>
      <c r="AF54" s="26"/>
      <c r="AG54" s="26"/>
    </row>
    <row r="55" spans="1:33" ht="41.25" thickBot="1" x14ac:dyDescent="0.3">
      <c r="A55" s="28" t="s">
        <v>121</v>
      </c>
      <c r="B55" s="29" t="s">
        <v>126</v>
      </c>
      <c r="C55" s="30" t="s">
        <v>127</v>
      </c>
      <c r="D55" s="30" t="s">
        <v>123</v>
      </c>
      <c r="E55" s="31">
        <v>0</v>
      </c>
      <c r="F55" s="31">
        <v>3</v>
      </c>
      <c r="G55" s="31">
        <v>0</v>
      </c>
      <c r="H55" s="31">
        <v>0</v>
      </c>
      <c r="I55" s="32">
        <v>0</v>
      </c>
      <c r="J55" s="32">
        <v>0</v>
      </c>
      <c r="K55" s="24">
        <v>0</v>
      </c>
      <c r="L55" s="31">
        <v>0</v>
      </c>
      <c r="M55" s="32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2">
        <v>0</v>
      </c>
      <c r="T55" s="31">
        <v>0</v>
      </c>
      <c r="U55" s="31">
        <v>0</v>
      </c>
      <c r="V55" s="31">
        <v>0</v>
      </c>
      <c r="W55" s="32">
        <v>0</v>
      </c>
      <c r="X55" s="31">
        <v>0</v>
      </c>
      <c r="Y55" s="32">
        <v>0</v>
      </c>
      <c r="Z55" s="33">
        <v>0</v>
      </c>
      <c r="AA55" s="3"/>
      <c r="AB55" s="26">
        <v>16</v>
      </c>
      <c r="AC55" s="26">
        <v>0</v>
      </c>
      <c r="AD55" s="26">
        <v>1</v>
      </c>
      <c r="AE55" s="26">
        <v>1</v>
      </c>
      <c r="AF55" s="26">
        <v>0</v>
      </c>
      <c r="AG55" s="26">
        <v>2</v>
      </c>
    </row>
    <row r="56" spans="1:33" ht="15.75" thickBot="1" x14ac:dyDescent="0.3">
      <c r="A56" s="28" t="s">
        <v>121</v>
      </c>
      <c r="B56" s="30" t="s">
        <v>124</v>
      </c>
      <c r="C56" s="30" t="s">
        <v>128</v>
      </c>
      <c r="D56" s="30" t="s">
        <v>129</v>
      </c>
      <c r="E56" s="31">
        <v>0</v>
      </c>
      <c r="F56" s="31">
        <v>0</v>
      </c>
      <c r="G56" s="31">
        <v>0</v>
      </c>
      <c r="H56" s="31">
        <v>0</v>
      </c>
      <c r="I56" s="32">
        <v>0</v>
      </c>
      <c r="J56" s="32">
        <v>0</v>
      </c>
      <c r="K56" s="24">
        <v>0</v>
      </c>
      <c r="L56" s="31">
        <v>0</v>
      </c>
      <c r="M56" s="32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2">
        <v>0</v>
      </c>
      <c r="T56" s="31">
        <v>0</v>
      </c>
      <c r="U56" s="31">
        <v>0</v>
      </c>
      <c r="V56" s="31">
        <v>0</v>
      </c>
      <c r="W56" s="32">
        <v>0</v>
      </c>
      <c r="X56" s="31">
        <v>0</v>
      </c>
      <c r="Y56" s="32">
        <v>0</v>
      </c>
      <c r="Z56" s="33">
        <v>0</v>
      </c>
      <c r="AA56" s="3"/>
      <c r="AB56" s="26"/>
      <c r="AC56" s="26"/>
      <c r="AD56" s="26"/>
      <c r="AE56" s="26"/>
      <c r="AF56" s="26"/>
      <c r="AG56" s="26"/>
    </row>
    <row r="57" spans="1:33" ht="15.75" thickBot="1" x14ac:dyDescent="0.3">
      <c r="A57" s="28" t="s">
        <v>121</v>
      </c>
      <c r="B57" s="29" t="s">
        <v>124</v>
      </c>
      <c r="C57" s="30" t="s">
        <v>130</v>
      </c>
      <c r="D57" s="30" t="s">
        <v>129</v>
      </c>
      <c r="E57" s="31">
        <v>0</v>
      </c>
      <c r="F57" s="31">
        <v>5</v>
      </c>
      <c r="G57" s="31">
        <v>0</v>
      </c>
      <c r="H57" s="31">
        <v>0</v>
      </c>
      <c r="I57" s="32">
        <v>0</v>
      </c>
      <c r="J57" s="32">
        <v>0</v>
      </c>
      <c r="K57" s="24">
        <v>0</v>
      </c>
      <c r="L57" s="31">
        <v>0</v>
      </c>
      <c r="M57" s="32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2">
        <v>0</v>
      </c>
      <c r="T57" s="31">
        <v>0</v>
      </c>
      <c r="U57" s="31">
        <v>0</v>
      </c>
      <c r="V57" s="31">
        <v>0</v>
      </c>
      <c r="W57" s="32">
        <v>0</v>
      </c>
      <c r="X57" s="31">
        <v>0</v>
      </c>
      <c r="Y57" s="32">
        <v>0</v>
      </c>
      <c r="Z57" s="33">
        <v>0</v>
      </c>
      <c r="AA57" s="3"/>
      <c r="AB57" s="26">
        <v>15</v>
      </c>
      <c r="AC57" s="26">
        <v>2</v>
      </c>
      <c r="AD57" s="26">
        <v>1</v>
      </c>
      <c r="AE57" s="26">
        <v>0</v>
      </c>
      <c r="AF57" s="26">
        <v>0</v>
      </c>
      <c r="AG57" s="26">
        <v>0</v>
      </c>
    </row>
    <row r="58" spans="1:33" ht="15.75" thickBot="1" x14ac:dyDescent="0.3">
      <c r="A58" s="28" t="s">
        <v>121</v>
      </c>
      <c r="B58" s="29" t="s">
        <v>124</v>
      </c>
      <c r="C58" s="30" t="s">
        <v>131</v>
      </c>
      <c r="D58" s="30" t="s">
        <v>132</v>
      </c>
      <c r="E58" s="31">
        <v>0</v>
      </c>
      <c r="F58" s="31">
        <v>2</v>
      </c>
      <c r="G58" s="31">
        <v>0</v>
      </c>
      <c r="H58" s="31">
        <v>0</v>
      </c>
      <c r="I58" s="32">
        <v>0</v>
      </c>
      <c r="J58" s="32">
        <v>0</v>
      </c>
      <c r="K58" s="24">
        <v>0</v>
      </c>
      <c r="L58" s="31">
        <v>0</v>
      </c>
      <c r="M58" s="32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2">
        <v>0</v>
      </c>
      <c r="T58" s="31">
        <v>0</v>
      </c>
      <c r="U58" s="31">
        <v>0</v>
      </c>
      <c r="V58" s="31">
        <v>0</v>
      </c>
      <c r="W58" s="32">
        <v>0</v>
      </c>
      <c r="X58" s="31">
        <v>0</v>
      </c>
      <c r="Y58" s="32">
        <v>0</v>
      </c>
      <c r="Z58" s="33">
        <v>0</v>
      </c>
      <c r="AA58" s="3"/>
      <c r="AB58" s="26">
        <f>10-4</f>
        <v>6</v>
      </c>
      <c r="AC58" s="26">
        <v>2</v>
      </c>
      <c r="AD58" s="26">
        <v>1</v>
      </c>
      <c r="AE58" s="26">
        <v>1</v>
      </c>
      <c r="AF58" s="26">
        <v>0</v>
      </c>
      <c r="AG58" s="26">
        <v>0</v>
      </c>
    </row>
    <row r="59" spans="1:33" ht="54.75" thickBot="1" x14ac:dyDescent="0.3">
      <c r="A59" s="28" t="s">
        <v>121</v>
      </c>
      <c r="B59" s="29" t="s">
        <v>124</v>
      </c>
      <c r="C59" s="30" t="s">
        <v>133</v>
      </c>
      <c r="D59" s="30" t="s">
        <v>123</v>
      </c>
      <c r="E59" s="31">
        <v>0</v>
      </c>
      <c r="F59" s="31">
        <v>3</v>
      </c>
      <c r="G59" s="31">
        <v>0</v>
      </c>
      <c r="H59" s="31">
        <v>0</v>
      </c>
      <c r="I59" s="32">
        <v>0</v>
      </c>
      <c r="J59" s="32">
        <v>0</v>
      </c>
      <c r="K59" s="24">
        <v>0</v>
      </c>
      <c r="L59" s="31">
        <v>0</v>
      </c>
      <c r="M59" s="32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2">
        <v>0</v>
      </c>
      <c r="T59" s="31">
        <v>0</v>
      </c>
      <c r="U59" s="31">
        <v>0</v>
      </c>
      <c r="V59" s="31">
        <v>0</v>
      </c>
      <c r="W59" s="32">
        <v>0</v>
      </c>
      <c r="X59" s="31">
        <v>0</v>
      </c>
      <c r="Y59" s="32">
        <v>0</v>
      </c>
      <c r="Z59" s="33">
        <v>0</v>
      </c>
      <c r="AA59" s="3"/>
      <c r="AB59" s="26">
        <v>14</v>
      </c>
      <c r="AC59" s="26">
        <v>0</v>
      </c>
      <c r="AD59" s="26">
        <v>1</v>
      </c>
      <c r="AE59" s="26">
        <v>1</v>
      </c>
      <c r="AF59" s="26">
        <v>0</v>
      </c>
      <c r="AG59" s="26">
        <v>2</v>
      </c>
    </row>
    <row r="60" spans="1:33" ht="27.75" thickBot="1" x14ac:dyDescent="0.3">
      <c r="A60" s="28" t="s">
        <v>121</v>
      </c>
      <c r="B60" s="29" t="s">
        <v>134</v>
      </c>
      <c r="C60" s="30" t="s">
        <v>135</v>
      </c>
      <c r="D60" s="30" t="s">
        <v>123</v>
      </c>
      <c r="E60" s="31">
        <v>0</v>
      </c>
      <c r="F60" s="31">
        <v>1</v>
      </c>
      <c r="G60" s="31">
        <v>0</v>
      </c>
      <c r="H60" s="31">
        <v>0</v>
      </c>
      <c r="I60" s="32">
        <v>0</v>
      </c>
      <c r="J60" s="32">
        <v>0</v>
      </c>
      <c r="K60" s="24">
        <v>0</v>
      </c>
      <c r="L60" s="31">
        <v>0</v>
      </c>
      <c r="M60" s="32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2">
        <v>0</v>
      </c>
      <c r="T60" s="31">
        <v>0</v>
      </c>
      <c r="U60" s="31">
        <v>0</v>
      </c>
      <c r="V60" s="31">
        <v>0</v>
      </c>
      <c r="W60" s="32">
        <v>0</v>
      </c>
      <c r="X60" s="31">
        <v>0</v>
      </c>
      <c r="Y60" s="32">
        <v>0</v>
      </c>
      <c r="Z60" s="33">
        <v>0</v>
      </c>
      <c r="AA60" s="3"/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</row>
    <row r="61" spans="1:33" ht="15.75" thickBot="1" x14ac:dyDescent="0.3">
      <c r="A61" s="28" t="s">
        <v>121</v>
      </c>
      <c r="B61" s="29" t="s">
        <v>134</v>
      </c>
      <c r="C61" s="30" t="s">
        <v>136</v>
      </c>
      <c r="D61" s="30" t="s">
        <v>123</v>
      </c>
      <c r="E61" s="31">
        <v>2</v>
      </c>
      <c r="F61" s="31">
        <v>10</v>
      </c>
      <c r="G61" s="31">
        <v>0</v>
      </c>
      <c r="H61" s="31">
        <v>0</v>
      </c>
      <c r="I61" s="32">
        <v>0</v>
      </c>
      <c r="J61" s="32">
        <v>0</v>
      </c>
      <c r="K61" s="24">
        <v>0</v>
      </c>
      <c r="L61" s="31">
        <v>0</v>
      </c>
      <c r="M61" s="32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2">
        <v>0</v>
      </c>
      <c r="T61" s="31">
        <v>0</v>
      </c>
      <c r="U61" s="31">
        <v>0</v>
      </c>
      <c r="V61" s="31">
        <v>0</v>
      </c>
      <c r="W61" s="32">
        <v>0</v>
      </c>
      <c r="X61" s="31">
        <v>0</v>
      </c>
      <c r="Y61" s="32">
        <v>0</v>
      </c>
      <c r="Z61" s="33">
        <v>0</v>
      </c>
      <c r="AA61" s="3"/>
      <c r="AB61" s="26">
        <f>37-27</f>
        <v>10</v>
      </c>
      <c r="AC61" s="26">
        <f>2</f>
        <v>2</v>
      </c>
      <c r="AD61" s="26">
        <f>2</f>
        <v>2</v>
      </c>
      <c r="AE61" s="26">
        <f>2</f>
        <v>2</v>
      </c>
      <c r="AF61" s="26">
        <f>2</f>
        <v>2</v>
      </c>
      <c r="AG61" s="26">
        <f>1</f>
        <v>1</v>
      </c>
    </row>
    <row r="62" spans="1:33" ht="27.75" thickBot="1" x14ac:dyDescent="0.3">
      <c r="A62" s="28" t="s">
        <v>121</v>
      </c>
      <c r="B62" s="29" t="s">
        <v>137</v>
      </c>
      <c r="C62" s="30" t="s">
        <v>138</v>
      </c>
      <c r="D62" s="30" t="s">
        <v>139</v>
      </c>
      <c r="E62" s="31">
        <v>0</v>
      </c>
      <c r="F62" s="31">
        <v>2</v>
      </c>
      <c r="G62" s="31">
        <v>0</v>
      </c>
      <c r="H62" s="31">
        <v>0</v>
      </c>
      <c r="I62" s="32">
        <v>0</v>
      </c>
      <c r="J62" s="32">
        <v>0</v>
      </c>
      <c r="K62" s="24">
        <v>0</v>
      </c>
      <c r="L62" s="31">
        <v>0</v>
      </c>
      <c r="M62" s="32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2">
        <v>0</v>
      </c>
      <c r="T62" s="31">
        <v>0</v>
      </c>
      <c r="U62" s="31">
        <v>0</v>
      </c>
      <c r="V62" s="31">
        <v>0</v>
      </c>
      <c r="W62" s="32">
        <v>0</v>
      </c>
      <c r="X62" s="31">
        <v>0</v>
      </c>
      <c r="Y62" s="32">
        <v>0</v>
      </c>
      <c r="Z62" s="33">
        <v>0</v>
      </c>
      <c r="AA62" s="3"/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</row>
    <row r="63" spans="1:33" ht="15.75" thickBot="1" x14ac:dyDescent="0.3">
      <c r="A63" s="28" t="s">
        <v>121</v>
      </c>
      <c r="B63" s="29" t="s">
        <v>137</v>
      </c>
      <c r="C63" s="30" t="s">
        <v>140</v>
      </c>
      <c r="D63" s="30" t="s">
        <v>141</v>
      </c>
      <c r="E63" s="31">
        <v>0</v>
      </c>
      <c r="F63" s="31">
        <v>3</v>
      </c>
      <c r="G63" s="31">
        <v>0</v>
      </c>
      <c r="H63" s="31">
        <v>0</v>
      </c>
      <c r="I63" s="32">
        <v>0</v>
      </c>
      <c r="J63" s="32">
        <v>0</v>
      </c>
      <c r="K63" s="24">
        <v>0</v>
      </c>
      <c r="L63" s="31">
        <v>0</v>
      </c>
      <c r="M63" s="32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2">
        <v>0</v>
      </c>
      <c r="T63" s="31">
        <v>0</v>
      </c>
      <c r="U63" s="31">
        <v>0</v>
      </c>
      <c r="V63" s="31">
        <v>0</v>
      </c>
      <c r="W63" s="32">
        <v>0</v>
      </c>
      <c r="X63" s="31">
        <v>0</v>
      </c>
      <c r="Y63" s="32">
        <v>0</v>
      </c>
      <c r="Z63" s="33">
        <v>0</v>
      </c>
      <c r="AA63" s="3"/>
      <c r="AB63" s="26">
        <v>10</v>
      </c>
      <c r="AC63" s="26">
        <v>2</v>
      </c>
      <c r="AD63" s="26">
        <v>1</v>
      </c>
      <c r="AE63" s="26">
        <v>1</v>
      </c>
      <c r="AF63" s="26">
        <v>1</v>
      </c>
      <c r="AG63" s="26">
        <v>1</v>
      </c>
    </row>
    <row r="64" spans="1:33" ht="27.75" thickBot="1" x14ac:dyDescent="0.3">
      <c r="A64" s="28" t="s">
        <v>121</v>
      </c>
      <c r="B64" s="29" t="s">
        <v>137</v>
      </c>
      <c r="C64" s="30" t="s">
        <v>142</v>
      </c>
      <c r="D64" s="30" t="s">
        <v>143</v>
      </c>
      <c r="E64" s="31">
        <v>0</v>
      </c>
      <c r="F64" s="31">
        <v>3</v>
      </c>
      <c r="G64" s="31">
        <v>0</v>
      </c>
      <c r="H64" s="31">
        <v>0</v>
      </c>
      <c r="I64" s="32">
        <v>0</v>
      </c>
      <c r="J64" s="32">
        <v>0</v>
      </c>
      <c r="K64" s="24">
        <v>0</v>
      </c>
      <c r="L64" s="31">
        <v>0</v>
      </c>
      <c r="M64" s="32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2">
        <v>0</v>
      </c>
      <c r="T64" s="31">
        <v>0</v>
      </c>
      <c r="U64" s="31">
        <v>0</v>
      </c>
      <c r="V64" s="31">
        <v>0</v>
      </c>
      <c r="W64" s="32">
        <v>0</v>
      </c>
      <c r="X64" s="31">
        <v>0</v>
      </c>
      <c r="Y64" s="32">
        <v>0</v>
      </c>
      <c r="Z64" s="33">
        <v>0</v>
      </c>
      <c r="AA64" s="3"/>
      <c r="AB64" s="26">
        <v>12</v>
      </c>
      <c r="AC64" s="26">
        <v>2</v>
      </c>
      <c r="AD64" s="26">
        <v>1</v>
      </c>
      <c r="AE64" s="26">
        <v>1</v>
      </c>
      <c r="AF64" s="26">
        <v>1</v>
      </c>
      <c r="AG64" s="26">
        <v>1</v>
      </c>
    </row>
    <row r="65" spans="1:33" ht="54.75" thickBot="1" x14ac:dyDescent="0.3">
      <c r="A65" s="78" t="s">
        <v>121</v>
      </c>
      <c r="B65" s="29" t="s">
        <v>137</v>
      </c>
      <c r="C65" s="29" t="s">
        <v>144</v>
      </c>
      <c r="D65" s="29" t="s">
        <v>123</v>
      </c>
      <c r="E65" s="31">
        <v>0</v>
      </c>
      <c r="F65" s="31">
        <v>2</v>
      </c>
      <c r="G65" s="31">
        <v>0</v>
      </c>
      <c r="H65" s="31">
        <v>0</v>
      </c>
      <c r="I65" s="32"/>
      <c r="J65" s="32"/>
      <c r="K65" s="24"/>
      <c r="L65" s="31">
        <v>0</v>
      </c>
      <c r="M65" s="32"/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2"/>
      <c r="T65" s="31">
        <v>0</v>
      </c>
      <c r="U65" s="31">
        <v>0</v>
      </c>
      <c r="V65" s="31">
        <v>0</v>
      </c>
      <c r="W65" s="32"/>
      <c r="X65" s="31">
        <v>0</v>
      </c>
      <c r="Y65" s="32"/>
      <c r="Z65" s="33"/>
      <c r="AA65" s="3"/>
      <c r="AB65" s="26">
        <v>16</v>
      </c>
      <c r="AC65" s="26">
        <v>0</v>
      </c>
      <c r="AD65" s="26">
        <v>1</v>
      </c>
      <c r="AE65" s="26">
        <v>1</v>
      </c>
      <c r="AF65" s="26">
        <v>1</v>
      </c>
      <c r="AG65" s="26">
        <v>1</v>
      </c>
    </row>
    <row r="66" spans="1:33" ht="27.75" thickBot="1" x14ac:dyDescent="0.3">
      <c r="A66" s="28" t="s">
        <v>121</v>
      </c>
      <c r="B66" s="29" t="s">
        <v>145</v>
      </c>
      <c r="C66" s="30" t="s">
        <v>146</v>
      </c>
      <c r="D66" s="30" t="s">
        <v>147</v>
      </c>
      <c r="E66" s="31">
        <v>0</v>
      </c>
      <c r="F66" s="31">
        <v>3</v>
      </c>
      <c r="G66" s="31">
        <v>0</v>
      </c>
      <c r="H66" s="31">
        <v>0</v>
      </c>
      <c r="I66" s="32">
        <v>0</v>
      </c>
      <c r="J66" s="32">
        <v>0</v>
      </c>
      <c r="K66" s="24">
        <v>0</v>
      </c>
      <c r="L66" s="31">
        <v>0</v>
      </c>
      <c r="M66" s="32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2">
        <v>0</v>
      </c>
      <c r="T66" s="31">
        <v>0</v>
      </c>
      <c r="U66" s="31">
        <v>0</v>
      </c>
      <c r="V66" s="31">
        <v>0</v>
      </c>
      <c r="W66" s="32">
        <v>0</v>
      </c>
      <c r="X66" s="31">
        <v>0</v>
      </c>
      <c r="Y66" s="32">
        <v>0</v>
      </c>
      <c r="Z66" s="33">
        <v>0</v>
      </c>
      <c r="AA66" s="3"/>
      <c r="AB66" s="26">
        <v>12</v>
      </c>
      <c r="AC66" s="26">
        <v>0</v>
      </c>
      <c r="AD66" s="26">
        <v>1</v>
      </c>
      <c r="AE66" s="26">
        <v>1</v>
      </c>
      <c r="AF66" s="26">
        <v>1</v>
      </c>
      <c r="AG66" s="26">
        <v>1</v>
      </c>
    </row>
    <row r="67" spans="1:33" ht="15.75" thickBot="1" x14ac:dyDescent="0.3">
      <c r="A67" s="28" t="s">
        <v>121</v>
      </c>
      <c r="B67" s="29" t="s">
        <v>145</v>
      </c>
      <c r="C67" s="30" t="s">
        <v>148</v>
      </c>
      <c r="D67" s="30" t="s">
        <v>149</v>
      </c>
      <c r="E67" s="31">
        <v>0</v>
      </c>
      <c r="F67" s="31">
        <v>3</v>
      </c>
      <c r="G67" s="31">
        <v>0</v>
      </c>
      <c r="H67" s="31">
        <v>0</v>
      </c>
      <c r="I67" s="32">
        <v>0</v>
      </c>
      <c r="J67" s="32">
        <v>0</v>
      </c>
      <c r="K67" s="24">
        <v>0</v>
      </c>
      <c r="L67" s="31">
        <v>0</v>
      </c>
      <c r="M67" s="32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2">
        <v>0</v>
      </c>
      <c r="T67" s="31">
        <v>0</v>
      </c>
      <c r="U67" s="31">
        <v>0</v>
      </c>
      <c r="V67" s="31">
        <v>0</v>
      </c>
      <c r="W67" s="32">
        <v>0</v>
      </c>
      <c r="X67" s="31">
        <v>0</v>
      </c>
      <c r="Y67" s="32">
        <v>0</v>
      </c>
      <c r="Z67" s="33">
        <v>0</v>
      </c>
      <c r="AA67" s="3"/>
      <c r="AB67" s="26">
        <v>12</v>
      </c>
      <c r="AC67" s="26">
        <v>0</v>
      </c>
      <c r="AD67" s="26">
        <v>1</v>
      </c>
      <c r="AE67" s="26">
        <v>1</v>
      </c>
      <c r="AF67" s="26">
        <v>1</v>
      </c>
      <c r="AG67" s="26">
        <v>1</v>
      </c>
    </row>
    <row r="68" spans="1:33" ht="24.75" customHeight="1" thickBot="1" x14ac:dyDescent="0.3">
      <c r="A68" s="28" t="s">
        <v>121</v>
      </c>
      <c r="B68" s="29" t="s">
        <v>150</v>
      </c>
      <c r="C68" s="30" t="s">
        <v>151</v>
      </c>
      <c r="D68" s="30" t="s">
        <v>152</v>
      </c>
      <c r="E68" s="31">
        <v>0</v>
      </c>
      <c r="F68" s="31">
        <v>4</v>
      </c>
      <c r="G68" s="31">
        <v>0</v>
      </c>
      <c r="H68" s="31">
        <v>0</v>
      </c>
      <c r="I68" s="32">
        <v>0</v>
      </c>
      <c r="J68" s="32">
        <v>0</v>
      </c>
      <c r="K68" s="24">
        <v>0</v>
      </c>
      <c r="L68" s="31">
        <v>0</v>
      </c>
      <c r="M68" s="32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2">
        <v>0</v>
      </c>
      <c r="T68" s="31">
        <v>0</v>
      </c>
      <c r="U68" s="31">
        <v>0</v>
      </c>
      <c r="V68" s="31">
        <v>0</v>
      </c>
      <c r="W68" s="32">
        <v>0</v>
      </c>
      <c r="X68" s="31">
        <v>0</v>
      </c>
      <c r="Y68" s="32">
        <v>0</v>
      </c>
      <c r="Z68" s="33">
        <v>0</v>
      </c>
      <c r="AA68" s="38">
        <f>AA73*7.5</f>
        <v>3656719136.3268299</v>
      </c>
      <c r="AB68" s="26">
        <v>32</v>
      </c>
      <c r="AC68" s="26">
        <v>0</v>
      </c>
      <c r="AD68" s="26">
        <v>1</v>
      </c>
      <c r="AE68" s="26">
        <v>1</v>
      </c>
      <c r="AF68" s="26">
        <v>1</v>
      </c>
      <c r="AG68" s="26">
        <v>1</v>
      </c>
    </row>
    <row r="69" spans="1:33" ht="15.75" thickBot="1" x14ac:dyDescent="0.3">
      <c r="A69" s="79"/>
      <c r="B69" s="80"/>
      <c r="C69" s="80"/>
      <c r="D69" s="80"/>
      <c r="E69" s="81"/>
      <c r="F69" s="82"/>
      <c r="G69" s="82"/>
      <c r="H69" s="82"/>
      <c r="I69" s="83"/>
      <c r="J69" s="83"/>
      <c r="K69" s="84"/>
      <c r="L69" s="82"/>
      <c r="M69" s="83"/>
      <c r="N69" s="82"/>
      <c r="O69" s="82"/>
      <c r="P69" s="82"/>
      <c r="Q69" s="82"/>
      <c r="R69" s="82"/>
      <c r="S69" s="83"/>
      <c r="T69" s="82"/>
      <c r="U69" s="82"/>
      <c r="V69" s="82"/>
      <c r="W69" s="83"/>
      <c r="X69" s="82"/>
      <c r="Y69" s="83"/>
      <c r="Z69" s="85"/>
      <c r="AA69" s="3"/>
      <c r="AB69" s="86"/>
      <c r="AC69" s="86"/>
      <c r="AD69" s="86"/>
      <c r="AE69" s="86"/>
      <c r="AF69" s="86"/>
      <c r="AG69" s="86"/>
    </row>
    <row r="70" spans="1:33" ht="15.75" thickBot="1" x14ac:dyDescent="0.3">
      <c r="A70" s="202" t="s">
        <v>94</v>
      </c>
      <c r="B70" s="203"/>
      <c r="C70" s="203"/>
      <c r="D70" s="204"/>
      <c r="E70" s="39">
        <f t="shared" ref="E70:AG70" si="13">SUM(E52:E68)</f>
        <v>2</v>
      </c>
      <c r="F70" s="40">
        <f>SUM(F52:F69)</f>
        <v>53</v>
      </c>
      <c r="G70" s="40">
        <f t="shared" si="13"/>
        <v>0</v>
      </c>
      <c r="H70" s="40">
        <f t="shared" si="13"/>
        <v>0</v>
      </c>
      <c r="I70" s="41">
        <f t="shared" si="13"/>
        <v>0</v>
      </c>
      <c r="J70" s="41">
        <f t="shared" si="13"/>
        <v>0</v>
      </c>
      <c r="K70" s="41"/>
      <c r="L70" s="40">
        <f t="shared" si="13"/>
        <v>0</v>
      </c>
      <c r="M70" s="41">
        <f t="shared" si="13"/>
        <v>0</v>
      </c>
      <c r="N70" s="40">
        <f t="shared" si="13"/>
        <v>0</v>
      </c>
      <c r="O70" s="40">
        <f t="shared" si="13"/>
        <v>0</v>
      </c>
      <c r="P70" s="40">
        <f t="shared" si="13"/>
        <v>0</v>
      </c>
      <c r="Q70" s="40">
        <f t="shared" si="13"/>
        <v>0</v>
      </c>
      <c r="R70" s="40">
        <f t="shared" si="13"/>
        <v>0</v>
      </c>
      <c r="S70" s="41">
        <f t="shared" si="13"/>
        <v>0</v>
      </c>
      <c r="T70" s="40">
        <f t="shared" si="13"/>
        <v>0</v>
      </c>
      <c r="U70" s="40">
        <f t="shared" si="13"/>
        <v>0</v>
      </c>
      <c r="V70" s="40">
        <f t="shared" si="13"/>
        <v>0</v>
      </c>
      <c r="W70" s="41">
        <f t="shared" si="13"/>
        <v>0</v>
      </c>
      <c r="X70" s="40">
        <f t="shared" si="13"/>
        <v>0</v>
      </c>
      <c r="Y70" s="41">
        <f t="shared" si="13"/>
        <v>0</v>
      </c>
      <c r="Z70" s="42">
        <f t="shared" si="13"/>
        <v>0</v>
      </c>
      <c r="AA70" s="43">
        <f>SUM(E70:Z70)</f>
        <v>55</v>
      </c>
      <c r="AB70" s="44">
        <f t="shared" si="13"/>
        <v>174</v>
      </c>
      <c r="AC70" s="44">
        <f t="shared" si="13"/>
        <v>10</v>
      </c>
      <c r="AD70" s="44">
        <f t="shared" si="13"/>
        <v>12</v>
      </c>
      <c r="AE70" s="44">
        <f t="shared" si="13"/>
        <v>12</v>
      </c>
      <c r="AF70" s="44">
        <f t="shared" si="13"/>
        <v>9</v>
      </c>
      <c r="AG70" s="44">
        <f t="shared" si="13"/>
        <v>12</v>
      </c>
    </row>
    <row r="71" spans="1:33" s="75" customFormat="1" ht="15.75" thickBot="1" x14ac:dyDescent="0.3">
      <c r="A71" s="68"/>
      <c r="B71" s="69"/>
      <c r="C71" s="69"/>
      <c r="D71" s="69"/>
      <c r="E71" s="70"/>
      <c r="F71" s="70"/>
      <c r="G71" s="70"/>
      <c r="H71" s="70"/>
      <c r="I71" s="71"/>
      <c r="J71" s="71"/>
      <c r="K71" s="71"/>
      <c r="L71" s="70"/>
      <c r="M71" s="71"/>
      <c r="N71" s="70"/>
      <c r="O71" s="70"/>
      <c r="P71" s="70"/>
      <c r="Q71" s="70"/>
      <c r="R71" s="70"/>
      <c r="S71" s="71"/>
      <c r="T71" s="70"/>
      <c r="U71" s="70"/>
      <c r="V71" s="70"/>
      <c r="W71" s="71"/>
      <c r="X71" s="70"/>
      <c r="Y71" s="71"/>
      <c r="Z71" s="72"/>
      <c r="AA71" s="73">
        <f>SUM(E71:Z71)</f>
        <v>0</v>
      </c>
      <c r="AB71" s="74"/>
      <c r="AC71" s="74"/>
      <c r="AD71" s="74"/>
      <c r="AE71" s="74"/>
      <c r="AF71" s="74"/>
      <c r="AG71" s="74"/>
    </row>
    <row r="72" spans="1:33" ht="15.75" thickBot="1" x14ac:dyDescent="0.3">
      <c r="A72" s="45"/>
      <c r="B72" s="199" t="s">
        <v>95</v>
      </c>
      <c r="C72" s="199"/>
      <c r="D72" s="46"/>
      <c r="E72" s="47"/>
      <c r="F72" s="47"/>
      <c r="G72" s="47"/>
      <c r="H72" s="47"/>
      <c r="I72" s="48"/>
      <c r="J72" s="48"/>
      <c r="K72" s="48"/>
      <c r="L72" s="47"/>
      <c r="M72" s="48"/>
      <c r="N72" s="47"/>
      <c r="O72" s="47"/>
      <c r="P72" s="47"/>
      <c r="Q72" s="47"/>
      <c r="R72" s="47"/>
      <c r="S72" s="48"/>
      <c r="T72" s="47"/>
      <c r="U72" s="47"/>
      <c r="V72" s="47"/>
      <c r="W72" s="48"/>
      <c r="X72" s="47"/>
      <c r="Y72" s="48"/>
      <c r="Z72" s="49"/>
      <c r="AA72" s="53">
        <f>SUM(E72:Z72)</f>
        <v>0</v>
      </c>
      <c r="AB72" s="74"/>
      <c r="AC72" s="74"/>
      <c r="AD72" s="74"/>
      <c r="AE72" s="74"/>
      <c r="AF72" s="74"/>
      <c r="AG72" s="74"/>
    </row>
    <row r="73" spans="1:33" ht="15.75" thickBot="1" x14ac:dyDescent="0.3">
      <c r="A73" s="205" t="s">
        <v>96</v>
      </c>
      <c r="B73" s="206"/>
      <c r="C73" s="206"/>
      <c r="D73" s="206"/>
      <c r="E73" s="54">
        <f t="shared" ref="E73:J73" si="14">E70*E5</f>
        <v>18045720.277969997</v>
      </c>
      <c r="F73" s="54">
        <f t="shared" si="14"/>
        <v>469516831.232274</v>
      </c>
      <c r="G73" s="54">
        <f t="shared" si="14"/>
        <v>0</v>
      </c>
      <c r="H73" s="54">
        <f t="shared" si="14"/>
        <v>0</v>
      </c>
      <c r="I73" s="55">
        <f t="shared" si="14"/>
        <v>0</v>
      </c>
      <c r="J73" s="55">
        <f t="shared" si="14"/>
        <v>0</v>
      </c>
      <c r="K73" s="55"/>
      <c r="L73" s="54">
        <f>L70*L5</f>
        <v>0</v>
      </c>
      <c r="M73" s="55">
        <f>M70*M5</f>
        <v>0</v>
      </c>
      <c r="N73" s="54">
        <f t="shared" ref="N73:Z73" si="15">N70*N5</f>
        <v>0</v>
      </c>
      <c r="O73" s="54">
        <f t="shared" si="15"/>
        <v>0</v>
      </c>
      <c r="P73" s="54">
        <f t="shared" si="15"/>
        <v>0</v>
      </c>
      <c r="Q73" s="54">
        <f t="shared" si="15"/>
        <v>0</v>
      </c>
      <c r="R73" s="54">
        <f t="shared" si="15"/>
        <v>0</v>
      </c>
      <c r="S73" s="55">
        <f t="shared" si="15"/>
        <v>0</v>
      </c>
      <c r="T73" s="54">
        <f t="shared" si="15"/>
        <v>0</v>
      </c>
      <c r="U73" s="54">
        <f t="shared" si="15"/>
        <v>0</v>
      </c>
      <c r="V73" s="54">
        <f t="shared" si="15"/>
        <v>0</v>
      </c>
      <c r="W73" s="55">
        <f t="shared" si="15"/>
        <v>0</v>
      </c>
      <c r="X73" s="54">
        <f t="shared" si="15"/>
        <v>0</v>
      </c>
      <c r="Y73" s="55">
        <f t="shared" si="15"/>
        <v>0</v>
      </c>
      <c r="Z73" s="56">
        <f t="shared" si="15"/>
        <v>0</v>
      </c>
      <c r="AA73" s="57">
        <f>SUM(E73:Z73)</f>
        <v>487562551.51024401</v>
      </c>
      <c r="AB73" s="77">
        <f t="shared" ref="AB73:AG73" si="16">AB70*AB5</f>
        <v>2452772.942666667</v>
      </c>
      <c r="AC73" s="77">
        <f t="shared" si="16"/>
        <v>547923.33555555553</v>
      </c>
      <c r="AD73" s="77">
        <f t="shared" si="16"/>
        <v>842289.61600000004</v>
      </c>
      <c r="AE73" s="77">
        <f t="shared" si="16"/>
        <v>611599.70666666655</v>
      </c>
      <c r="AF73" s="77">
        <f t="shared" si="16"/>
        <v>1446457.852</v>
      </c>
      <c r="AG73" s="77">
        <f t="shared" si="16"/>
        <v>648993.63199999998</v>
      </c>
    </row>
    <row r="74" spans="1:33" ht="15.75" thickBot="1" x14ac:dyDescent="0.3">
      <c r="A74" s="20" t="s">
        <v>153</v>
      </c>
      <c r="B74" s="87" t="s">
        <v>38</v>
      </c>
      <c r="C74" s="22" t="s">
        <v>154</v>
      </c>
      <c r="D74" s="22" t="s">
        <v>155</v>
      </c>
      <c r="E74" s="23">
        <v>0</v>
      </c>
      <c r="F74" s="23">
        <v>0</v>
      </c>
      <c r="G74" s="23">
        <v>0</v>
      </c>
      <c r="H74" s="23">
        <v>0</v>
      </c>
      <c r="I74" s="24">
        <v>0</v>
      </c>
      <c r="J74" s="24">
        <v>0</v>
      </c>
      <c r="K74" s="24">
        <v>0</v>
      </c>
      <c r="L74" s="23">
        <v>0</v>
      </c>
      <c r="M74" s="24">
        <v>0</v>
      </c>
      <c r="N74" s="23">
        <v>1</v>
      </c>
      <c r="O74" s="23">
        <v>0</v>
      </c>
      <c r="P74" s="23">
        <v>0</v>
      </c>
      <c r="Q74" s="23">
        <v>0</v>
      </c>
      <c r="R74" s="23">
        <v>0</v>
      </c>
      <c r="S74" s="24">
        <v>0</v>
      </c>
      <c r="T74" s="23">
        <v>0</v>
      </c>
      <c r="U74" s="23">
        <v>0</v>
      </c>
      <c r="V74" s="23">
        <v>0</v>
      </c>
      <c r="W74" s="24">
        <v>0</v>
      </c>
      <c r="X74" s="23">
        <v>0</v>
      </c>
      <c r="Y74" s="24">
        <v>0</v>
      </c>
      <c r="Z74" s="25">
        <v>0</v>
      </c>
      <c r="AA74" s="3"/>
      <c r="AB74" s="26">
        <v>10</v>
      </c>
      <c r="AC74" s="26">
        <v>2</v>
      </c>
      <c r="AD74" s="26">
        <v>1</v>
      </c>
      <c r="AE74" s="26">
        <v>1</v>
      </c>
      <c r="AF74" s="26">
        <v>1</v>
      </c>
      <c r="AG74" s="26">
        <v>0</v>
      </c>
    </row>
    <row r="75" spans="1:33" ht="27.75" thickBot="1" x14ac:dyDescent="0.3">
      <c r="A75" s="28" t="s">
        <v>153</v>
      </c>
      <c r="B75" s="88" t="s">
        <v>156</v>
      </c>
      <c r="C75" s="30" t="s">
        <v>154</v>
      </c>
      <c r="D75" s="30" t="s">
        <v>155</v>
      </c>
      <c r="E75" s="31">
        <v>0</v>
      </c>
      <c r="F75" s="31">
        <v>4</v>
      </c>
      <c r="G75" s="31">
        <v>0</v>
      </c>
      <c r="H75" s="31">
        <v>0</v>
      </c>
      <c r="I75" s="32">
        <v>0</v>
      </c>
      <c r="J75" s="32">
        <v>0</v>
      </c>
      <c r="K75" s="24">
        <v>0</v>
      </c>
      <c r="L75" s="31">
        <v>0</v>
      </c>
      <c r="M75" s="32">
        <v>0</v>
      </c>
      <c r="N75" s="31">
        <v>1</v>
      </c>
      <c r="O75" s="31">
        <v>0</v>
      </c>
      <c r="P75" s="31">
        <v>1</v>
      </c>
      <c r="Q75" s="31">
        <v>0</v>
      </c>
      <c r="R75" s="31">
        <v>0</v>
      </c>
      <c r="S75" s="32">
        <v>0</v>
      </c>
      <c r="T75" s="31">
        <v>0</v>
      </c>
      <c r="U75" s="31">
        <v>0</v>
      </c>
      <c r="V75" s="31">
        <v>0</v>
      </c>
      <c r="W75" s="32">
        <v>0</v>
      </c>
      <c r="X75" s="31">
        <v>0</v>
      </c>
      <c r="Y75" s="32">
        <v>0</v>
      </c>
      <c r="Z75" s="33">
        <v>0</v>
      </c>
      <c r="AA75" s="3"/>
      <c r="AB75" s="26">
        <v>16</v>
      </c>
      <c r="AC75" s="26">
        <v>1</v>
      </c>
      <c r="AD75" s="26">
        <f>1-1</f>
        <v>0</v>
      </c>
      <c r="AE75" s="26">
        <v>1</v>
      </c>
      <c r="AF75" s="26">
        <v>0</v>
      </c>
      <c r="AG75" s="26">
        <v>2</v>
      </c>
    </row>
    <row r="76" spans="1:33" ht="27.75" thickBot="1" x14ac:dyDescent="0.3">
      <c r="A76" s="28" t="s">
        <v>153</v>
      </c>
      <c r="B76" s="88" t="s">
        <v>156</v>
      </c>
      <c r="C76" s="30" t="s">
        <v>157</v>
      </c>
      <c r="D76" s="30" t="s">
        <v>158</v>
      </c>
      <c r="E76" s="31">
        <v>0</v>
      </c>
      <c r="F76" s="31">
        <v>1</v>
      </c>
      <c r="G76" s="31">
        <v>0</v>
      </c>
      <c r="H76" s="31">
        <v>0</v>
      </c>
      <c r="I76" s="32">
        <v>0</v>
      </c>
      <c r="J76" s="32">
        <v>0</v>
      </c>
      <c r="K76" s="24">
        <v>0</v>
      </c>
      <c r="L76" s="31">
        <v>0</v>
      </c>
      <c r="M76" s="32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2">
        <v>0</v>
      </c>
      <c r="T76" s="31">
        <v>0</v>
      </c>
      <c r="U76" s="31">
        <v>0</v>
      </c>
      <c r="V76" s="31">
        <v>0</v>
      </c>
      <c r="W76" s="32">
        <v>0</v>
      </c>
      <c r="X76" s="31">
        <v>0</v>
      </c>
      <c r="Y76" s="32">
        <v>0</v>
      </c>
      <c r="Z76" s="33">
        <v>0</v>
      </c>
      <c r="AA76" s="3"/>
      <c r="AB76" s="26">
        <v>15</v>
      </c>
      <c r="AC76" s="26">
        <v>1</v>
      </c>
      <c r="AD76" s="26">
        <v>1</v>
      </c>
      <c r="AE76" s="26">
        <v>1</v>
      </c>
      <c r="AF76" s="26">
        <v>1</v>
      </c>
      <c r="AG76" s="26">
        <v>2</v>
      </c>
    </row>
    <row r="77" spans="1:33" ht="27.75" thickBot="1" x14ac:dyDescent="0.3">
      <c r="A77" s="28" t="s">
        <v>153</v>
      </c>
      <c r="B77" s="88" t="s">
        <v>156</v>
      </c>
      <c r="C77" s="30" t="s">
        <v>159</v>
      </c>
      <c r="D77" s="30" t="s">
        <v>160</v>
      </c>
      <c r="E77" s="31">
        <v>0</v>
      </c>
      <c r="F77" s="31">
        <v>4</v>
      </c>
      <c r="G77" s="31">
        <v>0</v>
      </c>
      <c r="H77" s="31">
        <v>0</v>
      </c>
      <c r="I77" s="32">
        <v>0</v>
      </c>
      <c r="J77" s="32">
        <v>0</v>
      </c>
      <c r="K77" s="24">
        <v>0</v>
      </c>
      <c r="L77" s="31">
        <v>0</v>
      </c>
      <c r="M77" s="32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2">
        <v>0</v>
      </c>
      <c r="T77" s="31">
        <v>0</v>
      </c>
      <c r="U77" s="31">
        <v>0</v>
      </c>
      <c r="V77" s="31">
        <v>0</v>
      </c>
      <c r="W77" s="32">
        <v>0</v>
      </c>
      <c r="X77" s="31">
        <v>0</v>
      </c>
      <c r="Y77" s="32">
        <v>0</v>
      </c>
      <c r="Z77" s="33">
        <v>0</v>
      </c>
      <c r="AA77" s="3"/>
      <c r="AB77" s="26">
        <v>10</v>
      </c>
      <c r="AC77" s="26">
        <v>0</v>
      </c>
      <c r="AD77" s="26">
        <v>1</v>
      </c>
      <c r="AE77" s="26">
        <v>0</v>
      </c>
      <c r="AF77" s="26">
        <v>0</v>
      </c>
      <c r="AG77" s="26">
        <v>1</v>
      </c>
    </row>
    <row r="78" spans="1:33" ht="27.75" thickBot="1" x14ac:dyDescent="0.3">
      <c r="A78" s="28" t="s">
        <v>153</v>
      </c>
      <c r="B78" s="89" t="s">
        <v>161</v>
      </c>
      <c r="C78" s="30" t="s">
        <v>162</v>
      </c>
      <c r="D78" s="30" t="s">
        <v>155</v>
      </c>
      <c r="E78" s="31">
        <v>1</v>
      </c>
      <c r="F78" s="31">
        <v>5</v>
      </c>
      <c r="G78" s="31">
        <v>1</v>
      </c>
      <c r="H78" s="31">
        <v>0</v>
      </c>
      <c r="I78" s="32">
        <v>0</v>
      </c>
      <c r="J78" s="32">
        <v>0</v>
      </c>
      <c r="K78" s="24">
        <v>0</v>
      </c>
      <c r="L78" s="31">
        <v>0</v>
      </c>
      <c r="M78" s="32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2">
        <v>0</v>
      </c>
      <c r="T78" s="31">
        <v>0</v>
      </c>
      <c r="U78" s="31">
        <v>0</v>
      </c>
      <c r="V78" s="31">
        <v>0</v>
      </c>
      <c r="W78" s="32">
        <v>0</v>
      </c>
      <c r="X78" s="31">
        <v>0</v>
      </c>
      <c r="Y78" s="32">
        <v>0</v>
      </c>
      <c r="Z78" s="33">
        <v>0</v>
      </c>
      <c r="AA78" s="3"/>
      <c r="AB78" s="26">
        <v>26</v>
      </c>
      <c r="AC78" s="26">
        <v>2</v>
      </c>
      <c r="AD78" s="26">
        <v>2</v>
      </c>
      <c r="AE78" s="26">
        <v>2</v>
      </c>
      <c r="AF78" s="26">
        <v>1</v>
      </c>
      <c r="AG78" s="26">
        <v>3</v>
      </c>
    </row>
    <row r="79" spans="1:33" ht="41.25" thickBot="1" x14ac:dyDescent="0.3">
      <c r="A79" s="62" t="s">
        <v>153</v>
      </c>
      <c r="B79" s="90" t="s">
        <v>163</v>
      </c>
      <c r="C79" s="64" t="s">
        <v>164</v>
      </c>
      <c r="D79" s="64" t="s">
        <v>155</v>
      </c>
      <c r="E79" s="65">
        <v>1</v>
      </c>
      <c r="F79" s="65">
        <v>4</v>
      </c>
      <c r="G79" s="65">
        <v>0</v>
      </c>
      <c r="H79" s="65">
        <v>0</v>
      </c>
      <c r="I79" s="66">
        <v>0</v>
      </c>
      <c r="J79" s="66">
        <v>0</v>
      </c>
      <c r="K79" s="24">
        <v>0</v>
      </c>
      <c r="L79" s="65">
        <v>0</v>
      </c>
      <c r="M79" s="66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6">
        <v>0</v>
      </c>
      <c r="T79" s="65">
        <v>0</v>
      </c>
      <c r="U79" s="65">
        <v>0</v>
      </c>
      <c r="V79" s="65">
        <v>0</v>
      </c>
      <c r="W79" s="66">
        <v>0</v>
      </c>
      <c r="X79" s="65">
        <v>0</v>
      </c>
      <c r="Y79" s="66">
        <v>0</v>
      </c>
      <c r="Z79" s="67">
        <v>0</v>
      </c>
      <c r="AA79" s="38">
        <f>AA83*7.5</f>
        <v>1489055771.5744915</v>
      </c>
      <c r="AB79" s="26">
        <v>13</v>
      </c>
      <c r="AC79" s="26">
        <v>0</v>
      </c>
      <c r="AD79" s="26">
        <v>1</v>
      </c>
      <c r="AE79" s="26">
        <v>1</v>
      </c>
      <c r="AF79" s="26">
        <v>1</v>
      </c>
      <c r="AG79" s="26">
        <v>1</v>
      </c>
    </row>
    <row r="80" spans="1:33" ht="15.75" thickBot="1" x14ac:dyDescent="0.3">
      <c r="A80" s="202" t="s">
        <v>94</v>
      </c>
      <c r="B80" s="203"/>
      <c r="C80" s="203"/>
      <c r="D80" s="204"/>
      <c r="E80" s="39">
        <f>SUM(E74:E79)</f>
        <v>2</v>
      </c>
      <c r="F80" s="40">
        <f t="shared" ref="F80:AG80" si="17">SUM(F74:F79)</f>
        <v>18</v>
      </c>
      <c r="G80" s="40">
        <f t="shared" si="17"/>
        <v>1</v>
      </c>
      <c r="H80" s="40">
        <f t="shared" si="17"/>
        <v>0</v>
      </c>
      <c r="I80" s="41">
        <f t="shared" si="17"/>
        <v>0</v>
      </c>
      <c r="J80" s="41">
        <f t="shared" si="17"/>
        <v>0</v>
      </c>
      <c r="K80" s="41"/>
      <c r="L80" s="40">
        <f t="shared" si="17"/>
        <v>0</v>
      </c>
      <c r="M80" s="41">
        <f t="shared" si="17"/>
        <v>0</v>
      </c>
      <c r="N80" s="40">
        <f t="shared" si="17"/>
        <v>2</v>
      </c>
      <c r="O80" s="40">
        <f t="shared" si="17"/>
        <v>0</v>
      </c>
      <c r="P80" s="40">
        <f t="shared" si="17"/>
        <v>1</v>
      </c>
      <c r="Q80" s="40">
        <f t="shared" si="17"/>
        <v>0</v>
      </c>
      <c r="R80" s="40">
        <f t="shared" si="17"/>
        <v>0</v>
      </c>
      <c r="S80" s="41">
        <f t="shared" si="17"/>
        <v>0</v>
      </c>
      <c r="T80" s="40">
        <f t="shared" si="17"/>
        <v>0</v>
      </c>
      <c r="U80" s="40">
        <f t="shared" si="17"/>
        <v>0</v>
      </c>
      <c r="V80" s="40">
        <f t="shared" si="17"/>
        <v>0</v>
      </c>
      <c r="W80" s="41">
        <f t="shared" si="17"/>
        <v>0</v>
      </c>
      <c r="X80" s="40">
        <f t="shared" si="17"/>
        <v>0</v>
      </c>
      <c r="Y80" s="41">
        <f t="shared" si="17"/>
        <v>0</v>
      </c>
      <c r="Z80" s="42">
        <f t="shared" si="17"/>
        <v>0</v>
      </c>
      <c r="AA80" s="43">
        <f>SUM(E80:Z80)</f>
        <v>24</v>
      </c>
      <c r="AB80" s="44">
        <f t="shared" si="17"/>
        <v>90</v>
      </c>
      <c r="AC80" s="44">
        <f t="shared" si="17"/>
        <v>6</v>
      </c>
      <c r="AD80" s="44">
        <f t="shared" si="17"/>
        <v>6</v>
      </c>
      <c r="AE80" s="44">
        <f t="shared" si="17"/>
        <v>6</v>
      </c>
      <c r="AF80" s="44">
        <f t="shared" si="17"/>
        <v>4</v>
      </c>
      <c r="AG80" s="44">
        <f t="shared" si="17"/>
        <v>9</v>
      </c>
    </row>
    <row r="81" spans="1:33" s="75" customFormat="1" ht="15.75" thickBot="1" x14ac:dyDescent="0.3">
      <c r="A81" s="68"/>
      <c r="B81" s="69"/>
      <c r="C81" s="69"/>
      <c r="D81" s="69"/>
      <c r="E81" s="70"/>
      <c r="F81" s="70"/>
      <c r="G81" s="70"/>
      <c r="H81" s="70"/>
      <c r="I81" s="71"/>
      <c r="J81" s="71"/>
      <c r="K81" s="71"/>
      <c r="L81" s="70"/>
      <c r="M81" s="71"/>
      <c r="N81" s="70"/>
      <c r="O81" s="70"/>
      <c r="P81" s="70"/>
      <c r="Q81" s="70"/>
      <c r="R81" s="70"/>
      <c r="S81" s="71"/>
      <c r="T81" s="70"/>
      <c r="U81" s="70"/>
      <c r="V81" s="70"/>
      <c r="W81" s="71"/>
      <c r="X81" s="70"/>
      <c r="Y81" s="71"/>
      <c r="Z81" s="72"/>
      <c r="AA81" s="73">
        <f>SUM(E81:Z81)</f>
        <v>0</v>
      </c>
      <c r="AB81" s="74"/>
      <c r="AC81" s="74"/>
      <c r="AD81" s="74"/>
      <c r="AE81" s="74"/>
      <c r="AF81" s="74"/>
      <c r="AG81" s="74"/>
    </row>
    <row r="82" spans="1:33" ht="15.75" thickBot="1" x14ac:dyDescent="0.3">
      <c r="A82" s="45"/>
      <c r="B82" s="199" t="s">
        <v>95</v>
      </c>
      <c r="C82" s="199"/>
      <c r="D82" s="46"/>
      <c r="E82" s="47"/>
      <c r="F82" s="47"/>
      <c r="G82" s="47"/>
      <c r="H82" s="47"/>
      <c r="I82" s="48"/>
      <c r="J82" s="48"/>
      <c r="K82" s="48"/>
      <c r="L82" s="47"/>
      <c r="M82" s="48"/>
      <c r="N82" s="47"/>
      <c r="O82" s="47"/>
      <c r="P82" s="47"/>
      <c r="Q82" s="47"/>
      <c r="R82" s="47"/>
      <c r="S82" s="48"/>
      <c r="T82" s="47"/>
      <c r="U82" s="47"/>
      <c r="V82" s="47"/>
      <c r="W82" s="48"/>
      <c r="X82" s="47"/>
      <c r="Y82" s="48"/>
      <c r="Z82" s="49"/>
      <c r="AA82" s="53">
        <f>SUM(E82:Z82)</f>
        <v>0</v>
      </c>
      <c r="AB82" s="74"/>
      <c r="AC82" s="74"/>
      <c r="AD82" s="74"/>
      <c r="AE82" s="74"/>
      <c r="AF82" s="74"/>
      <c r="AG82" s="74"/>
    </row>
    <row r="83" spans="1:33" ht="15.75" thickBot="1" x14ac:dyDescent="0.3">
      <c r="A83" s="205" t="s">
        <v>96</v>
      </c>
      <c r="B83" s="206"/>
      <c r="C83" s="206"/>
      <c r="D83" s="206"/>
      <c r="E83" s="54">
        <f t="shared" ref="E83:J83" si="18">E80*E5</f>
        <v>18045720.277969997</v>
      </c>
      <c r="F83" s="54">
        <f t="shared" si="18"/>
        <v>159458546.45624399</v>
      </c>
      <c r="G83" s="54">
        <f t="shared" si="18"/>
        <v>8858808.1364580002</v>
      </c>
      <c r="H83" s="54">
        <f t="shared" si="18"/>
        <v>0</v>
      </c>
      <c r="I83" s="55">
        <f t="shared" si="18"/>
        <v>0</v>
      </c>
      <c r="J83" s="55">
        <f t="shared" si="18"/>
        <v>0</v>
      </c>
      <c r="K83" s="55"/>
      <c r="L83" s="54">
        <f>L80*L5</f>
        <v>0</v>
      </c>
      <c r="M83" s="55">
        <f>M80*M5</f>
        <v>0</v>
      </c>
      <c r="N83" s="54">
        <f t="shared" ref="N83:Z83" si="19">N80*N5</f>
        <v>9397975.9085449707</v>
      </c>
      <c r="O83" s="54">
        <f t="shared" si="19"/>
        <v>0</v>
      </c>
      <c r="P83" s="54">
        <f t="shared" si="19"/>
        <v>2779718.7640485903</v>
      </c>
      <c r="Q83" s="54">
        <f t="shared" si="19"/>
        <v>0</v>
      </c>
      <c r="R83" s="54">
        <f t="shared" si="19"/>
        <v>0</v>
      </c>
      <c r="S83" s="55">
        <f t="shared" si="19"/>
        <v>0</v>
      </c>
      <c r="T83" s="54">
        <f t="shared" si="19"/>
        <v>0</v>
      </c>
      <c r="U83" s="54">
        <f t="shared" si="19"/>
        <v>0</v>
      </c>
      <c r="V83" s="54">
        <f t="shared" si="19"/>
        <v>0</v>
      </c>
      <c r="W83" s="55">
        <f t="shared" si="19"/>
        <v>0</v>
      </c>
      <c r="X83" s="54">
        <f t="shared" si="19"/>
        <v>0</v>
      </c>
      <c r="Y83" s="55">
        <f t="shared" si="19"/>
        <v>0</v>
      </c>
      <c r="Z83" s="56">
        <f t="shared" si="19"/>
        <v>0</v>
      </c>
      <c r="AA83" s="57">
        <f>SUM(E83:Z83)</f>
        <v>198540769.54326552</v>
      </c>
      <c r="AB83" s="77">
        <f t="shared" ref="AB83:AG83" si="20">AB80*AB5</f>
        <v>1268675.6600000001</v>
      </c>
      <c r="AC83" s="77">
        <f t="shared" si="20"/>
        <v>328754.00133333332</v>
      </c>
      <c r="AD83" s="77">
        <f t="shared" si="20"/>
        <v>421144.80800000002</v>
      </c>
      <c r="AE83" s="77">
        <f t="shared" si="20"/>
        <v>305799.85333333327</v>
      </c>
      <c r="AF83" s="77">
        <f t="shared" si="20"/>
        <v>642870.15644444444</v>
      </c>
      <c r="AG83" s="77">
        <f t="shared" si="20"/>
        <v>486745.22400000005</v>
      </c>
    </row>
    <row r="84" spans="1:33" ht="27.75" thickBot="1" x14ac:dyDescent="0.3">
      <c r="A84" s="20" t="s">
        <v>165</v>
      </c>
      <c r="B84" s="87" t="s">
        <v>166</v>
      </c>
      <c r="C84" s="22" t="s">
        <v>167</v>
      </c>
      <c r="D84" s="22" t="s">
        <v>168</v>
      </c>
      <c r="E84" s="23">
        <v>0</v>
      </c>
      <c r="F84" s="23">
        <v>1</v>
      </c>
      <c r="G84" s="23">
        <v>0</v>
      </c>
      <c r="H84" s="23">
        <v>0</v>
      </c>
      <c r="I84" s="24">
        <v>0</v>
      </c>
      <c r="J84" s="24">
        <v>0</v>
      </c>
      <c r="K84" s="24">
        <v>0</v>
      </c>
      <c r="L84" s="23">
        <v>0</v>
      </c>
      <c r="M84" s="24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4">
        <v>0</v>
      </c>
      <c r="T84" s="23">
        <v>0</v>
      </c>
      <c r="U84" s="23">
        <v>0</v>
      </c>
      <c r="V84" s="23">
        <v>0</v>
      </c>
      <c r="W84" s="24">
        <v>0</v>
      </c>
      <c r="X84" s="23">
        <v>0</v>
      </c>
      <c r="Y84" s="24">
        <v>0</v>
      </c>
      <c r="Z84" s="25">
        <v>0</v>
      </c>
      <c r="AA84" s="3"/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</row>
    <row r="85" spans="1:33" ht="41.25" thickBot="1" x14ac:dyDescent="0.3">
      <c r="A85" s="28" t="s">
        <v>165</v>
      </c>
      <c r="B85" s="91" t="s">
        <v>169</v>
      </c>
      <c r="C85" s="30" t="s">
        <v>170</v>
      </c>
      <c r="D85" s="30" t="s">
        <v>168</v>
      </c>
      <c r="E85" s="31">
        <v>0</v>
      </c>
      <c r="F85" s="31">
        <v>6</v>
      </c>
      <c r="G85" s="31">
        <v>1</v>
      </c>
      <c r="H85" s="31">
        <v>0</v>
      </c>
      <c r="I85" s="32">
        <v>0</v>
      </c>
      <c r="J85" s="32">
        <v>0</v>
      </c>
      <c r="K85" s="24">
        <v>0</v>
      </c>
      <c r="L85" s="31">
        <v>0</v>
      </c>
      <c r="M85" s="32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2">
        <v>0</v>
      </c>
      <c r="T85" s="31">
        <v>0</v>
      </c>
      <c r="U85" s="31">
        <v>0</v>
      </c>
      <c r="V85" s="31">
        <v>0</v>
      </c>
      <c r="W85" s="32">
        <v>0</v>
      </c>
      <c r="X85" s="31">
        <v>0</v>
      </c>
      <c r="Y85" s="32">
        <v>0</v>
      </c>
      <c r="Z85" s="33">
        <v>0</v>
      </c>
      <c r="AA85" s="3"/>
      <c r="AB85" s="35">
        <v>40</v>
      </c>
      <c r="AC85" s="35">
        <v>5</v>
      </c>
      <c r="AD85" s="35">
        <v>2</v>
      </c>
      <c r="AE85" s="35">
        <v>2</v>
      </c>
      <c r="AF85" s="35">
        <v>1</v>
      </c>
      <c r="AG85" s="35">
        <v>7</v>
      </c>
    </row>
    <row r="86" spans="1:33" ht="27.75" thickBot="1" x14ac:dyDescent="0.3">
      <c r="A86" s="28" t="s">
        <v>165</v>
      </c>
      <c r="B86" s="91" t="s">
        <v>171</v>
      </c>
      <c r="C86" s="30" t="s">
        <v>172</v>
      </c>
      <c r="D86" s="30" t="s">
        <v>168</v>
      </c>
      <c r="E86" s="31">
        <v>0</v>
      </c>
      <c r="F86" s="31">
        <v>0</v>
      </c>
      <c r="G86" s="31">
        <v>0</v>
      </c>
      <c r="H86" s="31">
        <v>0</v>
      </c>
      <c r="I86" s="32">
        <v>0</v>
      </c>
      <c r="J86" s="32">
        <v>0</v>
      </c>
      <c r="K86" s="24">
        <v>0</v>
      </c>
      <c r="L86" s="31">
        <v>0</v>
      </c>
      <c r="M86" s="32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2">
        <v>0</v>
      </c>
      <c r="T86" s="31">
        <v>0</v>
      </c>
      <c r="U86" s="31">
        <v>0</v>
      </c>
      <c r="V86" s="31">
        <v>0</v>
      </c>
      <c r="W86" s="32">
        <v>0</v>
      </c>
      <c r="X86" s="31">
        <v>0</v>
      </c>
      <c r="Y86" s="32">
        <v>0</v>
      </c>
      <c r="Z86" s="33">
        <v>0</v>
      </c>
      <c r="AA86" s="3"/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</row>
    <row r="87" spans="1:33" ht="27.75" thickBot="1" x14ac:dyDescent="0.3">
      <c r="A87" s="28" t="s">
        <v>165</v>
      </c>
      <c r="B87" s="91" t="s">
        <v>171</v>
      </c>
      <c r="C87" s="30" t="s">
        <v>173</v>
      </c>
      <c r="D87" s="30" t="s">
        <v>174</v>
      </c>
      <c r="E87" s="31">
        <v>0</v>
      </c>
      <c r="F87" s="31">
        <v>3</v>
      </c>
      <c r="G87" s="31">
        <v>0</v>
      </c>
      <c r="H87" s="31">
        <v>0</v>
      </c>
      <c r="I87" s="32">
        <v>0</v>
      </c>
      <c r="J87" s="32">
        <v>0</v>
      </c>
      <c r="K87" s="24">
        <v>0</v>
      </c>
      <c r="L87" s="31">
        <v>0</v>
      </c>
      <c r="M87" s="32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2">
        <v>0</v>
      </c>
      <c r="T87" s="31">
        <v>0</v>
      </c>
      <c r="U87" s="31">
        <v>0</v>
      </c>
      <c r="V87" s="31">
        <v>0</v>
      </c>
      <c r="W87" s="32">
        <v>0</v>
      </c>
      <c r="X87" s="31">
        <v>0</v>
      </c>
      <c r="Y87" s="32">
        <v>0</v>
      </c>
      <c r="Z87" s="33">
        <v>0</v>
      </c>
      <c r="AA87" s="3"/>
      <c r="AB87" s="35">
        <v>13</v>
      </c>
      <c r="AC87" s="35">
        <v>3</v>
      </c>
      <c r="AD87" s="35">
        <v>1</v>
      </c>
      <c r="AE87" s="35">
        <v>1</v>
      </c>
      <c r="AF87" s="35">
        <v>1</v>
      </c>
      <c r="AG87" s="35">
        <v>3</v>
      </c>
    </row>
    <row r="88" spans="1:33" ht="27.75" thickBot="1" x14ac:dyDescent="0.3">
      <c r="A88" s="28" t="s">
        <v>165</v>
      </c>
      <c r="B88" s="91" t="s">
        <v>169</v>
      </c>
      <c r="C88" s="30" t="s">
        <v>175</v>
      </c>
      <c r="D88" s="30" t="s">
        <v>168</v>
      </c>
      <c r="E88" s="31">
        <v>0</v>
      </c>
      <c r="F88" s="31">
        <v>7</v>
      </c>
      <c r="G88" s="31">
        <v>0</v>
      </c>
      <c r="H88" s="31">
        <v>0</v>
      </c>
      <c r="I88" s="32">
        <v>0</v>
      </c>
      <c r="J88" s="32">
        <v>0</v>
      </c>
      <c r="K88" s="24">
        <v>0</v>
      </c>
      <c r="L88" s="31">
        <v>0</v>
      </c>
      <c r="M88" s="32">
        <v>0</v>
      </c>
      <c r="N88" s="31">
        <v>0</v>
      </c>
      <c r="O88" s="31">
        <v>2</v>
      </c>
      <c r="P88" s="31">
        <v>0</v>
      </c>
      <c r="Q88" s="31">
        <v>0</v>
      </c>
      <c r="R88" s="31">
        <v>0</v>
      </c>
      <c r="S88" s="32">
        <v>0</v>
      </c>
      <c r="T88" s="31">
        <v>2</v>
      </c>
      <c r="U88" s="31">
        <v>0</v>
      </c>
      <c r="V88" s="31">
        <v>0</v>
      </c>
      <c r="W88" s="32">
        <v>0</v>
      </c>
      <c r="X88" s="31">
        <v>0</v>
      </c>
      <c r="Y88" s="32">
        <v>0</v>
      </c>
      <c r="Z88" s="33">
        <v>0</v>
      </c>
      <c r="AA88" s="3"/>
      <c r="AB88" s="35">
        <v>26</v>
      </c>
      <c r="AC88" s="35">
        <v>4</v>
      </c>
      <c r="AD88" s="35">
        <v>2</v>
      </c>
      <c r="AE88" s="35">
        <v>2</v>
      </c>
      <c r="AF88" s="35">
        <v>1</v>
      </c>
      <c r="AG88" s="35">
        <v>4</v>
      </c>
    </row>
    <row r="89" spans="1:33" ht="15.75" thickBot="1" x14ac:dyDescent="0.3">
      <c r="A89" s="28" t="s">
        <v>165</v>
      </c>
      <c r="B89" s="91" t="s">
        <v>171</v>
      </c>
      <c r="C89" s="30" t="s">
        <v>176</v>
      </c>
      <c r="D89" s="30" t="s">
        <v>168</v>
      </c>
      <c r="E89" s="31">
        <v>0</v>
      </c>
      <c r="F89" s="31">
        <v>0</v>
      </c>
      <c r="G89" s="31">
        <v>0</v>
      </c>
      <c r="H89" s="31">
        <v>0</v>
      </c>
      <c r="I89" s="32">
        <v>0</v>
      </c>
      <c r="J89" s="32">
        <v>0</v>
      </c>
      <c r="K89" s="24">
        <v>0</v>
      </c>
      <c r="L89" s="31">
        <v>0</v>
      </c>
      <c r="M89" s="32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2">
        <v>0</v>
      </c>
      <c r="T89" s="31">
        <v>0</v>
      </c>
      <c r="U89" s="31">
        <v>0</v>
      </c>
      <c r="V89" s="31">
        <v>0</v>
      </c>
      <c r="W89" s="32">
        <v>0</v>
      </c>
      <c r="X89" s="31">
        <v>0</v>
      </c>
      <c r="Y89" s="32">
        <v>0</v>
      </c>
      <c r="Z89" s="33">
        <v>0</v>
      </c>
      <c r="AA89" s="3"/>
      <c r="AB89" s="35"/>
      <c r="AC89" s="35"/>
      <c r="AD89" s="35"/>
      <c r="AE89" s="35"/>
      <c r="AF89" s="35"/>
      <c r="AG89" s="35"/>
    </row>
    <row r="90" spans="1:33" ht="27.75" thickBot="1" x14ac:dyDescent="0.3">
      <c r="A90" s="28" t="s">
        <v>165</v>
      </c>
      <c r="B90" s="89" t="s">
        <v>169</v>
      </c>
      <c r="C90" s="30" t="s">
        <v>177</v>
      </c>
      <c r="D90" s="30" t="s">
        <v>168</v>
      </c>
      <c r="E90" s="31">
        <v>0</v>
      </c>
      <c r="F90" s="31">
        <v>2</v>
      </c>
      <c r="G90" s="31">
        <v>0</v>
      </c>
      <c r="H90" s="31">
        <v>0</v>
      </c>
      <c r="I90" s="32">
        <v>0</v>
      </c>
      <c r="J90" s="32">
        <v>0</v>
      </c>
      <c r="K90" s="24">
        <v>0</v>
      </c>
      <c r="L90" s="31">
        <v>0</v>
      </c>
      <c r="M90" s="32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2">
        <v>0</v>
      </c>
      <c r="T90" s="31">
        <v>0</v>
      </c>
      <c r="U90" s="31">
        <v>0</v>
      </c>
      <c r="V90" s="31">
        <v>0</v>
      </c>
      <c r="W90" s="32">
        <v>0</v>
      </c>
      <c r="X90" s="31">
        <v>0</v>
      </c>
      <c r="Y90" s="32">
        <v>0</v>
      </c>
      <c r="Z90" s="33">
        <v>0</v>
      </c>
      <c r="AA90" s="3"/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</row>
    <row r="91" spans="1:33" ht="27.75" thickBot="1" x14ac:dyDescent="0.3">
      <c r="A91" s="28" t="s">
        <v>165</v>
      </c>
      <c r="B91" s="91" t="s">
        <v>169</v>
      </c>
      <c r="C91" s="30" t="s">
        <v>178</v>
      </c>
      <c r="D91" s="30" t="s">
        <v>168</v>
      </c>
      <c r="E91" s="31">
        <v>0</v>
      </c>
      <c r="F91" s="31">
        <v>1</v>
      </c>
      <c r="G91" s="31">
        <v>0</v>
      </c>
      <c r="H91" s="31">
        <v>0</v>
      </c>
      <c r="I91" s="32">
        <v>0</v>
      </c>
      <c r="J91" s="32">
        <v>0</v>
      </c>
      <c r="K91" s="24">
        <v>0</v>
      </c>
      <c r="L91" s="31">
        <v>0</v>
      </c>
      <c r="M91" s="32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2">
        <v>0</v>
      </c>
      <c r="T91" s="31">
        <v>0</v>
      </c>
      <c r="U91" s="31">
        <v>0</v>
      </c>
      <c r="V91" s="31">
        <v>0</v>
      </c>
      <c r="W91" s="32">
        <v>0</v>
      </c>
      <c r="X91" s="31">
        <v>0</v>
      </c>
      <c r="Y91" s="32">
        <v>0</v>
      </c>
      <c r="Z91" s="33">
        <v>0</v>
      </c>
      <c r="AA91" s="3"/>
      <c r="AB91" s="35">
        <v>19</v>
      </c>
      <c r="AC91" s="35">
        <v>4</v>
      </c>
      <c r="AD91" s="35">
        <v>1</v>
      </c>
      <c r="AE91" s="35">
        <v>1</v>
      </c>
      <c r="AF91" s="35">
        <v>0</v>
      </c>
      <c r="AG91" s="35">
        <v>2</v>
      </c>
    </row>
    <row r="92" spans="1:33" ht="27.75" thickBot="1" x14ac:dyDescent="0.3">
      <c r="A92" s="28" t="s">
        <v>165</v>
      </c>
      <c r="B92" s="89" t="s">
        <v>179</v>
      </c>
      <c r="C92" s="30" t="s">
        <v>180</v>
      </c>
      <c r="D92" s="30" t="s">
        <v>181</v>
      </c>
      <c r="E92" s="31">
        <v>0</v>
      </c>
      <c r="F92" s="31">
        <v>1</v>
      </c>
      <c r="G92" s="31">
        <v>0</v>
      </c>
      <c r="H92" s="31">
        <v>0</v>
      </c>
      <c r="I92" s="32">
        <v>0</v>
      </c>
      <c r="J92" s="32">
        <v>0</v>
      </c>
      <c r="K92" s="24">
        <v>0</v>
      </c>
      <c r="L92" s="31">
        <v>0</v>
      </c>
      <c r="M92" s="32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2">
        <v>0</v>
      </c>
      <c r="T92" s="31">
        <v>0</v>
      </c>
      <c r="U92" s="31">
        <v>0</v>
      </c>
      <c r="V92" s="31">
        <v>0</v>
      </c>
      <c r="W92" s="32">
        <v>0</v>
      </c>
      <c r="X92" s="31">
        <v>0</v>
      </c>
      <c r="Y92" s="32">
        <v>0</v>
      </c>
      <c r="Z92" s="33">
        <v>0</v>
      </c>
      <c r="AA92" s="3"/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</row>
    <row r="93" spans="1:33" ht="15.75" thickBot="1" x14ac:dyDescent="0.3">
      <c r="A93" s="28" t="s">
        <v>165</v>
      </c>
      <c r="B93" s="89" t="s">
        <v>179</v>
      </c>
      <c r="C93" s="30" t="s">
        <v>182</v>
      </c>
      <c r="D93" s="30" t="s">
        <v>181</v>
      </c>
      <c r="E93" s="31">
        <v>0</v>
      </c>
      <c r="F93" s="31">
        <v>9</v>
      </c>
      <c r="G93" s="31">
        <v>1</v>
      </c>
      <c r="H93" s="31">
        <v>0</v>
      </c>
      <c r="I93" s="32">
        <v>0</v>
      </c>
      <c r="J93" s="32">
        <v>0</v>
      </c>
      <c r="K93" s="24">
        <v>0</v>
      </c>
      <c r="L93" s="31">
        <v>0</v>
      </c>
      <c r="M93" s="32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2">
        <v>0</v>
      </c>
      <c r="T93" s="31">
        <v>0</v>
      </c>
      <c r="U93" s="31">
        <v>0</v>
      </c>
      <c r="V93" s="31">
        <v>0</v>
      </c>
      <c r="W93" s="32">
        <v>0</v>
      </c>
      <c r="X93" s="31">
        <v>0</v>
      </c>
      <c r="Y93" s="32">
        <v>0</v>
      </c>
      <c r="Z93" s="33">
        <v>0</v>
      </c>
      <c r="AA93" s="3"/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</row>
    <row r="94" spans="1:33" ht="27.75" thickBot="1" x14ac:dyDescent="0.3">
      <c r="A94" s="28" t="s">
        <v>165</v>
      </c>
      <c r="B94" s="89" t="s">
        <v>183</v>
      </c>
      <c r="C94" s="30" t="s">
        <v>184</v>
      </c>
      <c r="D94" s="30" t="s">
        <v>185</v>
      </c>
      <c r="E94" s="31">
        <v>0</v>
      </c>
      <c r="F94" s="31">
        <v>1</v>
      </c>
      <c r="G94" s="31">
        <v>0</v>
      </c>
      <c r="H94" s="31">
        <v>0</v>
      </c>
      <c r="I94" s="32">
        <v>0</v>
      </c>
      <c r="J94" s="32">
        <v>0</v>
      </c>
      <c r="K94" s="24">
        <v>0</v>
      </c>
      <c r="L94" s="31">
        <v>0</v>
      </c>
      <c r="M94" s="32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2">
        <v>0</v>
      </c>
      <c r="T94" s="31">
        <v>0</v>
      </c>
      <c r="U94" s="31">
        <v>0</v>
      </c>
      <c r="V94" s="31">
        <v>0</v>
      </c>
      <c r="W94" s="32">
        <v>0</v>
      </c>
      <c r="X94" s="31">
        <v>0</v>
      </c>
      <c r="Y94" s="32">
        <v>0</v>
      </c>
      <c r="Z94" s="33">
        <v>0</v>
      </c>
      <c r="AA94" s="38">
        <f>AA99*7.5</f>
        <v>2393257975.1399908</v>
      </c>
      <c r="AB94" s="35">
        <v>6</v>
      </c>
      <c r="AC94" s="35">
        <v>0</v>
      </c>
      <c r="AD94" s="35">
        <v>1</v>
      </c>
      <c r="AE94" s="35">
        <v>1</v>
      </c>
      <c r="AF94" s="35">
        <v>0</v>
      </c>
      <c r="AG94" s="35">
        <v>1</v>
      </c>
    </row>
    <row r="95" spans="1:33" ht="27.75" thickBot="1" x14ac:dyDescent="0.3">
      <c r="A95" s="28" t="s">
        <v>165</v>
      </c>
      <c r="B95" s="89" t="s">
        <v>183</v>
      </c>
      <c r="C95" s="30" t="s">
        <v>186</v>
      </c>
      <c r="D95" s="30" t="s">
        <v>187</v>
      </c>
      <c r="E95" s="65">
        <v>0</v>
      </c>
      <c r="F95" s="65">
        <v>1</v>
      </c>
      <c r="G95" s="65">
        <v>0</v>
      </c>
      <c r="H95" s="65">
        <v>0</v>
      </c>
      <c r="I95" s="66">
        <v>0</v>
      </c>
      <c r="J95" s="66">
        <v>0</v>
      </c>
      <c r="K95" s="24">
        <v>0</v>
      </c>
      <c r="L95" s="65">
        <v>0</v>
      </c>
      <c r="M95" s="66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6">
        <v>0</v>
      </c>
      <c r="T95" s="65">
        <v>0</v>
      </c>
      <c r="U95" s="65">
        <v>0</v>
      </c>
      <c r="V95" s="65">
        <v>0</v>
      </c>
      <c r="W95" s="66">
        <v>0</v>
      </c>
      <c r="X95" s="65">
        <v>0</v>
      </c>
      <c r="Y95" s="66">
        <v>0</v>
      </c>
      <c r="Z95" s="67">
        <v>0</v>
      </c>
      <c r="AA95" s="3"/>
      <c r="AB95" s="92"/>
      <c r="AC95" s="92"/>
      <c r="AD95" s="92"/>
      <c r="AE95" s="92"/>
      <c r="AF95" s="92"/>
      <c r="AG95" s="92"/>
    </row>
    <row r="96" spans="1:33" ht="15.75" thickBot="1" x14ac:dyDescent="0.3">
      <c r="A96" s="202" t="s">
        <v>94</v>
      </c>
      <c r="B96" s="203"/>
      <c r="C96" s="203"/>
      <c r="D96" s="204"/>
      <c r="E96" s="39">
        <f>SUM(E84:E95)</f>
        <v>0</v>
      </c>
      <c r="F96" s="40">
        <f t="shared" ref="F96:AG96" si="21">SUM(F84:F95)</f>
        <v>32</v>
      </c>
      <c r="G96" s="40">
        <f t="shared" si="21"/>
        <v>2</v>
      </c>
      <c r="H96" s="40">
        <f t="shared" si="21"/>
        <v>0</v>
      </c>
      <c r="I96" s="41">
        <f t="shared" si="21"/>
        <v>0</v>
      </c>
      <c r="J96" s="41">
        <f t="shared" si="21"/>
        <v>0</v>
      </c>
      <c r="K96" s="41"/>
      <c r="L96" s="40">
        <f t="shared" si="21"/>
        <v>0</v>
      </c>
      <c r="M96" s="41">
        <f t="shared" si="21"/>
        <v>0</v>
      </c>
      <c r="N96" s="40">
        <f t="shared" si="21"/>
        <v>0</v>
      </c>
      <c r="O96" s="40">
        <f t="shared" si="21"/>
        <v>2</v>
      </c>
      <c r="P96" s="40">
        <f t="shared" si="21"/>
        <v>0</v>
      </c>
      <c r="Q96" s="40">
        <f t="shared" si="21"/>
        <v>0</v>
      </c>
      <c r="R96" s="40">
        <f t="shared" si="21"/>
        <v>0</v>
      </c>
      <c r="S96" s="41">
        <f t="shared" si="21"/>
        <v>0</v>
      </c>
      <c r="T96" s="40">
        <f t="shared" si="21"/>
        <v>2</v>
      </c>
      <c r="U96" s="40">
        <f t="shared" si="21"/>
        <v>0</v>
      </c>
      <c r="V96" s="40">
        <f t="shared" si="21"/>
        <v>0</v>
      </c>
      <c r="W96" s="41">
        <f t="shared" si="21"/>
        <v>0</v>
      </c>
      <c r="X96" s="40">
        <f t="shared" si="21"/>
        <v>0</v>
      </c>
      <c r="Y96" s="41">
        <f t="shared" si="21"/>
        <v>0</v>
      </c>
      <c r="Z96" s="42">
        <f t="shared" si="21"/>
        <v>0</v>
      </c>
      <c r="AA96" s="43">
        <f>SUM(E96:Z96)</f>
        <v>38</v>
      </c>
      <c r="AB96" s="44">
        <f t="shared" si="21"/>
        <v>104</v>
      </c>
      <c r="AC96" s="44">
        <f t="shared" si="21"/>
        <v>16</v>
      </c>
      <c r="AD96" s="44">
        <f t="shared" si="21"/>
        <v>7</v>
      </c>
      <c r="AE96" s="44">
        <f t="shared" si="21"/>
        <v>7</v>
      </c>
      <c r="AF96" s="44">
        <f t="shared" si="21"/>
        <v>3</v>
      </c>
      <c r="AG96" s="44">
        <f t="shared" si="21"/>
        <v>17</v>
      </c>
    </row>
    <row r="97" spans="1:33" s="75" customFormat="1" ht="15.75" thickBot="1" x14ac:dyDescent="0.3">
      <c r="A97" s="68"/>
      <c r="B97" s="69"/>
      <c r="C97" s="69"/>
      <c r="D97" s="69"/>
      <c r="E97" s="70"/>
      <c r="F97" s="70"/>
      <c r="G97" s="70"/>
      <c r="H97" s="70"/>
      <c r="I97" s="71"/>
      <c r="J97" s="71"/>
      <c r="K97" s="71"/>
      <c r="L97" s="70"/>
      <c r="M97" s="71"/>
      <c r="N97" s="70"/>
      <c r="O97" s="70"/>
      <c r="P97" s="70"/>
      <c r="Q97" s="70"/>
      <c r="R97" s="70"/>
      <c r="S97" s="71"/>
      <c r="T97" s="70"/>
      <c r="U97" s="70"/>
      <c r="V97" s="70"/>
      <c r="W97" s="71"/>
      <c r="X97" s="70"/>
      <c r="Y97" s="71"/>
      <c r="Z97" s="72"/>
      <c r="AA97" s="73">
        <f>SUM(E97:Z97)</f>
        <v>0</v>
      </c>
      <c r="AB97" s="74"/>
      <c r="AC97" s="74"/>
      <c r="AD97" s="74"/>
      <c r="AE97" s="74"/>
      <c r="AF97" s="74"/>
      <c r="AG97" s="74"/>
    </row>
    <row r="98" spans="1:33" ht="15.75" thickBot="1" x14ac:dyDescent="0.3">
      <c r="A98" s="45"/>
      <c r="B98" s="199" t="s">
        <v>95</v>
      </c>
      <c r="C98" s="199"/>
      <c r="D98" s="46"/>
      <c r="E98" s="47"/>
      <c r="F98" s="47"/>
      <c r="G98" s="47"/>
      <c r="H98" s="47"/>
      <c r="I98" s="48"/>
      <c r="J98" s="48"/>
      <c r="K98" s="48"/>
      <c r="L98" s="47"/>
      <c r="M98" s="48"/>
      <c r="N98" s="47"/>
      <c r="O98" s="47"/>
      <c r="P98" s="47"/>
      <c r="Q98" s="47"/>
      <c r="R98" s="47"/>
      <c r="S98" s="48"/>
      <c r="T98" s="47"/>
      <c r="U98" s="47"/>
      <c r="V98" s="47"/>
      <c r="W98" s="48"/>
      <c r="X98" s="47"/>
      <c r="Y98" s="48"/>
      <c r="Z98" s="49"/>
      <c r="AA98" s="53">
        <f>SUM(E98:Z98)</f>
        <v>0</v>
      </c>
      <c r="AB98" s="74"/>
      <c r="AC98" s="74"/>
      <c r="AD98" s="74"/>
      <c r="AE98" s="74"/>
      <c r="AF98" s="74"/>
      <c r="AG98" s="74"/>
    </row>
    <row r="99" spans="1:33" ht="15.75" thickBot="1" x14ac:dyDescent="0.3">
      <c r="A99" s="205" t="s">
        <v>96</v>
      </c>
      <c r="B99" s="206"/>
      <c r="C99" s="206"/>
      <c r="D99" s="206"/>
      <c r="E99" s="54">
        <f t="shared" ref="E99:J99" si="22">E96*E5</f>
        <v>0</v>
      </c>
      <c r="F99" s="54">
        <f t="shared" si="22"/>
        <v>283481860.36665601</v>
      </c>
      <c r="G99" s="54">
        <f t="shared" si="22"/>
        <v>17717616.272916</v>
      </c>
      <c r="H99" s="54">
        <f t="shared" si="22"/>
        <v>0</v>
      </c>
      <c r="I99" s="55">
        <f t="shared" si="22"/>
        <v>0</v>
      </c>
      <c r="J99" s="55">
        <f t="shared" si="22"/>
        <v>0</v>
      </c>
      <c r="K99" s="55"/>
      <c r="L99" s="54">
        <f>L96*L5</f>
        <v>0</v>
      </c>
      <c r="M99" s="55">
        <f>M96*M5</f>
        <v>0</v>
      </c>
      <c r="N99" s="54">
        <f t="shared" ref="N99:Z99" si="23">N96*N5</f>
        <v>0</v>
      </c>
      <c r="O99" s="54">
        <f t="shared" si="23"/>
        <v>7783212.5393360546</v>
      </c>
      <c r="P99" s="54">
        <f t="shared" si="23"/>
        <v>0</v>
      </c>
      <c r="Q99" s="54">
        <f t="shared" si="23"/>
        <v>0</v>
      </c>
      <c r="R99" s="54">
        <f t="shared" si="23"/>
        <v>0</v>
      </c>
      <c r="S99" s="55">
        <f t="shared" si="23"/>
        <v>0</v>
      </c>
      <c r="T99" s="54">
        <f t="shared" si="23"/>
        <v>10118374.173090689</v>
      </c>
      <c r="U99" s="54">
        <f t="shared" si="23"/>
        <v>0</v>
      </c>
      <c r="V99" s="54">
        <f t="shared" si="23"/>
        <v>0</v>
      </c>
      <c r="W99" s="55">
        <f t="shared" si="23"/>
        <v>0</v>
      </c>
      <c r="X99" s="54">
        <f t="shared" si="23"/>
        <v>0</v>
      </c>
      <c r="Y99" s="55">
        <f t="shared" si="23"/>
        <v>0</v>
      </c>
      <c r="Z99" s="56">
        <f t="shared" si="23"/>
        <v>0</v>
      </c>
      <c r="AA99" s="57">
        <f>SUM(E99:Z99)</f>
        <v>319101063.35199875</v>
      </c>
      <c r="AB99" s="77">
        <f t="shared" ref="AB99:AG99" si="24">AB96*AB5</f>
        <v>1466025.2071111111</v>
      </c>
      <c r="AC99" s="77">
        <f t="shared" si="24"/>
        <v>876677.33688888885</v>
      </c>
      <c r="AD99" s="77">
        <f t="shared" si="24"/>
        <v>491335.60933333333</v>
      </c>
      <c r="AE99" s="77">
        <f t="shared" si="24"/>
        <v>356766.49555555551</v>
      </c>
      <c r="AF99" s="77">
        <f t="shared" si="24"/>
        <v>482152.61733333336</v>
      </c>
      <c r="AG99" s="77">
        <f t="shared" si="24"/>
        <v>919407.64533333341</v>
      </c>
    </row>
    <row r="100" spans="1:33" ht="15.75" thickBot="1" x14ac:dyDescent="0.3">
      <c r="A100" s="20" t="s">
        <v>188</v>
      </c>
      <c r="B100" s="93" t="s">
        <v>98</v>
      </c>
      <c r="C100" s="22" t="s">
        <v>189</v>
      </c>
      <c r="D100" s="22" t="s">
        <v>190</v>
      </c>
      <c r="E100" s="94">
        <v>0</v>
      </c>
      <c r="F100" s="94">
        <v>1</v>
      </c>
      <c r="G100" s="94">
        <v>0</v>
      </c>
      <c r="H100" s="94">
        <v>0</v>
      </c>
      <c r="I100" s="95"/>
      <c r="J100" s="95">
        <v>0</v>
      </c>
      <c r="K100" s="24">
        <v>0</v>
      </c>
      <c r="L100" s="94">
        <v>0</v>
      </c>
      <c r="M100" s="95">
        <v>0</v>
      </c>
      <c r="N100" s="94">
        <v>0</v>
      </c>
      <c r="O100" s="94">
        <v>0</v>
      </c>
      <c r="P100" s="94">
        <v>0</v>
      </c>
      <c r="Q100" s="94">
        <v>0</v>
      </c>
      <c r="R100" s="94">
        <v>0</v>
      </c>
      <c r="S100" s="95">
        <v>0</v>
      </c>
      <c r="T100" s="94">
        <v>0</v>
      </c>
      <c r="U100" s="94">
        <v>0</v>
      </c>
      <c r="V100" s="94">
        <v>0</v>
      </c>
      <c r="W100" s="95">
        <v>0</v>
      </c>
      <c r="X100" s="94">
        <v>0</v>
      </c>
      <c r="Y100" s="95">
        <v>0</v>
      </c>
      <c r="Z100" s="96">
        <v>0</v>
      </c>
      <c r="AA100" s="3"/>
      <c r="AB100" s="26">
        <v>8</v>
      </c>
      <c r="AC100" s="26">
        <v>0</v>
      </c>
      <c r="AD100" s="26">
        <v>1</v>
      </c>
      <c r="AE100" s="26">
        <v>1</v>
      </c>
      <c r="AF100" s="26">
        <v>1</v>
      </c>
      <c r="AG100" s="26">
        <v>2</v>
      </c>
    </row>
    <row r="101" spans="1:33" ht="15.75" thickBot="1" x14ac:dyDescent="0.3">
      <c r="A101" s="28" t="s">
        <v>188</v>
      </c>
      <c r="B101" s="97" t="s">
        <v>38</v>
      </c>
      <c r="C101" s="30" t="s">
        <v>191</v>
      </c>
      <c r="D101" s="30" t="s">
        <v>190</v>
      </c>
      <c r="E101" s="98">
        <v>0</v>
      </c>
      <c r="F101" s="98">
        <v>1</v>
      </c>
      <c r="G101" s="98">
        <v>0</v>
      </c>
      <c r="H101" s="98">
        <v>0</v>
      </c>
      <c r="I101" s="99">
        <v>0</v>
      </c>
      <c r="J101" s="99">
        <v>0</v>
      </c>
      <c r="K101" s="24">
        <v>0</v>
      </c>
      <c r="L101" s="98">
        <v>0</v>
      </c>
      <c r="M101" s="99">
        <v>0</v>
      </c>
      <c r="N101" s="98">
        <v>0</v>
      </c>
      <c r="O101" s="98">
        <v>0</v>
      </c>
      <c r="P101" s="98">
        <v>1</v>
      </c>
      <c r="Q101" s="98">
        <v>0</v>
      </c>
      <c r="R101" s="98">
        <v>0</v>
      </c>
      <c r="S101" s="99">
        <v>0</v>
      </c>
      <c r="T101" s="98">
        <v>0</v>
      </c>
      <c r="U101" s="98">
        <v>0</v>
      </c>
      <c r="V101" s="98">
        <v>0</v>
      </c>
      <c r="W101" s="99">
        <v>0</v>
      </c>
      <c r="X101" s="98">
        <v>0</v>
      </c>
      <c r="Y101" s="99">
        <v>0</v>
      </c>
      <c r="Z101" s="100">
        <v>0</v>
      </c>
      <c r="AA101" s="3"/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</row>
    <row r="102" spans="1:33" ht="27.75" thickBot="1" x14ac:dyDescent="0.3">
      <c r="A102" s="28" t="s">
        <v>188</v>
      </c>
      <c r="B102" s="30" t="s">
        <v>38</v>
      </c>
      <c r="C102" s="30" t="s">
        <v>192</v>
      </c>
      <c r="D102" s="30" t="s">
        <v>190</v>
      </c>
      <c r="E102" s="98">
        <v>0</v>
      </c>
      <c r="F102" s="98">
        <v>0</v>
      </c>
      <c r="G102" s="98">
        <v>0</v>
      </c>
      <c r="H102" s="98">
        <v>0</v>
      </c>
      <c r="I102" s="99">
        <v>0</v>
      </c>
      <c r="J102" s="99">
        <v>0</v>
      </c>
      <c r="K102" s="24">
        <v>0</v>
      </c>
      <c r="L102" s="98">
        <v>0</v>
      </c>
      <c r="M102" s="99">
        <v>0</v>
      </c>
      <c r="N102" s="98">
        <v>0</v>
      </c>
      <c r="O102" s="98">
        <v>0</v>
      </c>
      <c r="P102" s="98">
        <v>0</v>
      </c>
      <c r="Q102" s="98">
        <v>0</v>
      </c>
      <c r="R102" s="98">
        <v>0</v>
      </c>
      <c r="S102" s="99">
        <v>0</v>
      </c>
      <c r="T102" s="98">
        <v>0</v>
      </c>
      <c r="U102" s="98">
        <v>0</v>
      </c>
      <c r="V102" s="98">
        <v>0</v>
      </c>
      <c r="W102" s="99">
        <v>0</v>
      </c>
      <c r="X102" s="98">
        <v>0</v>
      </c>
      <c r="Y102" s="99">
        <v>0</v>
      </c>
      <c r="Z102" s="100">
        <v>0</v>
      </c>
      <c r="AA102" s="3"/>
      <c r="AB102" s="26"/>
      <c r="AC102" s="26"/>
      <c r="AD102" s="26"/>
      <c r="AE102" s="26"/>
      <c r="AF102" s="26"/>
      <c r="AG102" s="26"/>
    </row>
    <row r="103" spans="1:33" ht="27.75" thickBot="1" x14ac:dyDescent="0.3">
      <c r="A103" s="28" t="s">
        <v>188</v>
      </c>
      <c r="B103" s="101" t="s">
        <v>193</v>
      </c>
      <c r="C103" s="30" t="s">
        <v>194</v>
      </c>
      <c r="D103" s="30" t="s">
        <v>190</v>
      </c>
      <c r="E103" s="98">
        <v>0</v>
      </c>
      <c r="F103" s="98">
        <v>3</v>
      </c>
      <c r="G103" s="98">
        <v>1</v>
      </c>
      <c r="H103" s="98">
        <v>0</v>
      </c>
      <c r="I103" s="99">
        <v>0</v>
      </c>
      <c r="J103" s="99">
        <v>0</v>
      </c>
      <c r="K103" s="24">
        <v>0</v>
      </c>
      <c r="L103" s="98">
        <v>0</v>
      </c>
      <c r="M103" s="99">
        <v>0</v>
      </c>
      <c r="N103" s="98">
        <v>2</v>
      </c>
      <c r="O103" s="98">
        <v>0</v>
      </c>
      <c r="P103" s="98">
        <v>0</v>
      </c>
      <c r="Q103" s="98">
        <v>0</v>
      </c>
      <c r="R103" s="98">
        <v>0</v>
      </c>
      <c r="S103" s="99">
        <v>0</v>
      </c>
      <c r="T103" s="98">
        <v>0</v>
      </c>
      <c r="U103" s="98">
        <v>0</v>
      </c>
      <c r="V103" s="98">
        <v>0</v>
      </c>
      <c r="W103" s="99">
        <v>0</v>
      </c>
      <c r="X103" s="98">
        <v>0</v>
      </c>
      <c r="Y103" s="99">
        <v>0</v>
      </c>
      <c r="Z103" s="100">
        <v>0</v>
      </c>
      <c r="AA103" s="3"/>
      <c r="AB103" s="26">
        <v>29</v>
      </c>
      <c r="AC103" s="26">
        <v>3</v>
      </c>
      <c r="AD103" s="26">
        <v>1</v>
      </c>
      <c r="AE103" s="26">
        <v>1</v>
      </c>
      <c r="AF103" s="26">
        <v>1</v>
      </c>
      <c r="AG103" s="26">
        <v>2</v>
      </c>
    </row>
    <row r="104" spans="1:33" ht="27.75" thickBot="1" x14ac:dyDescent="0.3">
      <c r="A104" s="28" t="s">
        <v>188</v>
      </c>
      <c r="B104" s="101" t="s">
        <v>193</v>
      </c>
      <c r="C104" s="30" t="s">
        <v>195</v>
      </c>
      <c r="D104" s="30" t="s">
        <v>196</v>
      </c>
      <c r="E104" s="98">
        <v>0</v>
      </c>
      <c r="F104" s="102">
        <v>1</v>
      </c>
      <c r="G104" s="102">
        <v>0</v>
      </c>
      <c r="H104" s="102">
        <v>0</v>
      </c>
      <c r="I104" s="99">
        <v>0</v>
      </c>
      <c r="J104" s="99">
        <v>0</v>
      </c>
      <c r="K104" s="24">
        <v>0</v>
      </c>
      <c r="L104" s="102">
        <v>0</v>
      </c>
      <c r="M104" s="99">
        <v>0</v>
      </c>
      <c r="N104" s="98">
        <v>0</v>
      </c>
      <c r="O104" s="98">
        <v>0</v>
      </c>
      <c r="P104" s="98">
        <v>1</v>
      </c>
      <c r="Q104" s="98">
        <v>0</v>
      </c>
      <c r="R104" s="98">
        <v>0</v>
      </c>
      <c r="S104" s="99">
        <v>0</v>
      </c>
      <c r="T104" s="98">
        <v>0</v>
      </c>
      <c r="U104" s="102">
        <v>0</v>
      </c>
      <c r="V104" s="102">
        <v>0</v>
      </c>
      <c r="W104" s="99">
        <v>0</v>
      </c>
      <c r="X104" s="98">
        <v>0</v>
      </c>
      <c r="Y104" s="99">
        <v>0</v>
      </c>
      <c r="Z104" s="100">
        <v>0</v>
      </c>
      <c r="AA104" s="3"/>
      <c r="AB104" s="35">
        <v>7</v>
      </c>
      <c r="AC104" s="35">
        <v>1</v>
      </c>
      <c r="AD104" s="35">
        <v>1</v>
      </c>
      <c r="AE104" s="35">
        <v>1</v>
      </c>
      <c r="AF104" s="35">
        <v>0</v>
      </c>
      <c r="AG104" s="35">
        <v>0</v>
      </c>
    </row>
    <row r="105" spans="1:33" ht="27.75" thickBot="1" x14ac:dyDescent="0.3">
      <c r="A105" s="28" t="s">
        <v>188</v>
      </c>
      <c r="B105" s="101" t="s">
        <v>197</v>
      </c>
      <c r="C105" s="30" t="s">
        <v>198</v>
      </c>
      <c r="D105" s="30" t="s">
        <v>190</v>
      </c>
      <c r="E105" s="98">
        <v>1</v>
      </c>
      <c r="F105" s="98">
        <v>1</v>
      </c>
      <c r="G105" s="98">
        <v>0</v>
      </c>
      <c r="H105" s="98">
        <v>0</v>
      </c>
      <c r="I105" s="99">
        <v>0</v>
      </c>
      <c r="J105" s="99">
        <v>0</v>
      </c>
      <c r="K105" s="24">
        <v>0</v>
      </c>
      <c r="L105" s="98">
        <v>0</v>
      </c>
      <c r="M105" s="99">
        <v>0</v>
      </c>
      <c r="N105" s="98">
        <v>0</v>
      </c>
      <c r="O105" s="98">
        <v>0</v>
      </c>
      <c r="P105" s="98">
        <v>0</v>
      </c>
      <c r="Q105" s="98">
        <v>0</v>
      </c>
      <c r="R105" s="98">
        <v>0</v>
      </c>
      <c r="S105" s="99">
        <v>0</v>
      </c>
      <c r="T105" s="98">
        <v>0</v>
      </c>
      <c r="U105" s="98">
        <v>0</v>
      </c>
      <c r="V105" s="98">
        <v>0</v>
      </c>
      <c r="W105" s="99">
        <v>0</v>
      </c>
      <c r="X105" s="98">
        <v>0</v>
      </c>
      <c r="Y105" s="99">
        <v>0</v>
      </c>
      <c r="Z105" s="100">
        <v>0</v>
      </c>
      <c r="AA105" s="3"/>
      <c r="AB105" s="26">
        <v>10</v>
      </c>
      <c r="AC105" s="26">
        <v>1</v>
      </c>
      <c r="AD105" s="26">
        <v>1</v>
      </c>
      <c r="AE105" s="26">
        <v>1</v>
      </c>
      <c r="AF105" s="26">
        <v>1</v>
      </c>
      <c r="AG105" s="26">
        <v>2</v>
      </c>
    </row>
    <row r="106" spans="1:33" ht="30.6" customHeight="1" thickBot="1" x14ac:dyDescent="0.3">
      <c r="A106" s="28" t="s">
        <v>188</v>
      </c>
      <c r="B106" s="101" t="s">
        <v>197</v>
      </c>
      <c r="C106" s="30" t="s">
        <v>199</v>
      </c>
      <c r="D106" s="30" t="s">
        <v>190</v>
      </c>
      <c r="E106" s="103">
        <v>0</v>
      </c>
      <c r="F106" s="103">
        <v>1</v>
      </c>
      <c r="G106" s="103">
        <v>0</v>
      </c>
      <c r="H106" s="103">
        <v>0</v>
      </c>
      <c r="I106" s="104">
        <v>0</v>
      </c>
      <c r="J106" s="104">
        <v>0</v>
      </c>
      <c r="K106" s="105">
        <v>0</v>
      </c>
      <c r="L106" s="103">
        <v>0</v>
      </c>
      <c r="M106" s="104">
        <v>0</v>
      </c>
      <c r="N106" s="103">
        <v>0</v>
      </c>
      <c r="O106" s="103">
        <v>0</v>
      </c>
      <c r="P106" s="103">
        <v>0</v>
      </c>
      <c r="Q106" s="103">
        <v>0</v>
      </c>
      <c r="R106" s="103">
        <v>0</v>
      </c>
      <c r="S106" s="104">
        <v>0</v>
      </c>
      <c r="T106" s="103">
        <v>0</v>
      </c>
      <c r="U106" s="103">
        <v>0</v>
      </c>
      <c r="V106" s="103">
        <v>0</v>
      </c>
      <c r="W106" s="104">
        <v>0</v>
      </c>
      <c r="X106" s="103">
        <v>0</v>
      </c>
      <c r="Y106" s="104">
        <v>0</v>
      </c>
      <c r="Z106" s="106">
        <v>0</v>
      </c>
      <c r="AA106" s="3"/>
      <c r="AB106" s="107">
        <v>4</v>
      </c>
      <c r="AC106" s="107">
        <v>0</v>
      </c>
      <c r="AD106" s="107">
        <v>1</v>
      </c>
      <c r="AE106" s="107">
        <v>1</v>
      </c>
      <c r="AF106" s="107">
        <v>0</v>
      </c>
      <c r="AG106" s="107">
        <v>1</v>
      </c>
    </row>
    <row r="107" spans="1:33" ht="17.45" customHeight="1" thickBot="1" x14ac:dyDescent="0.3">
      <c r="A107" s="28" t="s">
        <v>188</v>
      </c>
      <c r="B107" s="30" t="s">
        <v>197</v>
      </c>
      <c r="C107" s="30" t="s">
        <v>200</v>
      </c>
      <c r="D107" s="30" t="s">
        <v>201</v>
      </c>
      <c r="E107" s="108">
        <v>0</v>
      </c>
      <c r="F107" s="109">
        <v>0</v>
      </c>
      <c r="G107" s="109">
        <v>0</v>
      </c>
      <c r="H107" s="109">
        <v>0</v>
      </c>
      <c r="I107" s="110">
        <v>0</v>
      </c>
      <c r="J107" s="110">
        <v>0</v>
      </c>
      <c r="K107" s="111">
        <v>0</v>
      </c>
      <c r="L107" s="109">
        <v>0</v>
      </c>
      <c r="M107" s="110">
        <v>0</v>
      </c>
      <c r="N107" s="108">
        <v>0</v>
      </c>
      <c r="O107" s="108">
        <v>0</v>
      </c>
      <c r="P107" s="108">
        <v>0</v>
      </c>
      <c r="Q107" s="108">
        <v>0</v>
      </c>
      <c r="R107" s="108">
        <v>0</v>
      </c>
      <c r="S107" s="110">
        <v>0</v>
      </c>
      <c r="T107" s="108">
        <v>0</v>
      </c>
      <c r="U107" s="109">
        <v>0</v>
      </c>
      <c r="V107" s="109">
        <v>0</v>
      </c>
      <c r="W107" s="110">
        <v>0</v>
      </c>
      <c r="X107" s="108">
        <v>0</v>
      </c>
      <c r="Y107" s="110">
        <v>0</v>
      </c>
      <c r="Z107" s="112">
        <v>0</v>
      </c>
      <c r="AA107" s="3"/>
      <c r="AB107" s="113">
        <v>6</v>
      </c>
      <c r="AC107" s="113">
        <v>1</v>
      </c>
      <c r="AD107" s="113">
        <v>1</v>
      </c>
      <c r="AE107" s="113">
        <v>1</v>
      </c>
      <c r="AF107" s="113">
        <v>0</v>
      </c>
      <c r="AG107" s="113">
        <v>0</v>
      </c>
    </row>
    <row r="108" spans="1:33" ht="15.75" thickBot="1" x14ac:dyDescent="0.3">
      <c r="A108" s="28" t="s">
        <v>188</v>
      </c>
      <c r="B108" s="114" t="s">
        <v>202</v>
      </c>
      <c r="C108" s="30" t="s">
        <v>203</v>
      </c>
      <c r="D108" s="30" t="s">
        <v>190</v>
      </c>
      <c r="E108" s="98">
        <v>0</v>
      </c>
      <c r="F108" s="102">
        <v>1</v>
      </c>
      <c r="G108" s="102">
        <v>0</v>
      </c>
      <c r="H108" s="102">
        <v>0</v>
      </c>
      <c r="I108" s="99">
        <v>0</v>
      </c>
      <c r="J108" s="99">
        <v>0</v>
      </c>
      <c r="K108" s="24">
        <v>0</v>
      </c>
      <c r="L108" s="102">
        <v>0</v>
      </c>
      <c r="M108" s="99">
        <v>0</v>
      </c>
      <c r="N108" s="98">
        <v>0</v>
      </c>
      <c r="O108" s="98">
        <v>0</v>
      </c>
      <c r="P108" s="98">
        <v>0</v>
      </c>
      <c r="Q108" s="98">
        <v>0</v>
      </c>
      <c r="R108" s="98">
        <v>0</v>
      </c>
      <c r="S108" s="99">
        <v>0</v>
      </c>
      <c r="T108" s="98">
        <v>0</v>
      </c>
      <c r="U108" s="102">
        <v>0</v>
      </c>
      <c r="V108" s="102">
        <v>0</v>
      </c>
      <c r="W108" s="99">
        <v>0</v>
      </c>
      <c r="X108" s="98">
        <v>0</v>
      </c>
      <c r="Y108" s="99">
        <v>0</v>
      </c>
      <c r="Z108" s="100">
        <v>0</v>
      </c>
      <c r="AA108" s="3"/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</row>
    <row r="109" spans="1:33" ht="15.75" thickBot="1" x14ac:dyDescent="0.3">
      <c r="A109" s="28" t="s">
        <v>188</v>
      </c>
      <c r="B109" s="114" t="s">
        <v>202</v>
      </c>
      <c r="C109" s="30" t="s">
        <v>203</v>
      </c>
      <c r="D109" s="30" t="s">
        <v>190</v>
      </c>
      <c r="E109" s="98">
        <v>0</v>
      </c>
      <c r="F109" s="98">
        <v>13</v>
      </c>
      <c r="G109" s="98">
        <v>1</v>
      </c>
      <c r="H109" s="98">
        <v>2</v>
      </c>
      <c r="I109" s="99">
        <v>0</v>
      </c>
      <c r="J109" s="99">
        <v>0</v>
      </c>
      <c r="K109" s="24">
        <v>0</v>
      </c>
      <c r="L109" s="98">
        <v>1</v>
      </c>
      <c r="M109" s="99">
        <v>0</v>
      </c>
      <c r="N109" s="98">
        <v>0</v>
      </c>
      <c r="O109" s="98">
        <v>0</v>
      </c>
      <c r="P109" s="98">
        <v>0</v>
      </c>
      <c r="Q109" s="98">
        <v>0</v>
      </c>
      <c r="R109" s="98">
        <v>0</v>
      </c>
      <c r="S109" s="99">
        <v>0</v>
      </c>
      <c r="T109" s="98">
        <v>0</v>
      </c>
      <c r="U109" s="98">
        <v>1</v>
      </c>
      <c r="V109" s="98">
        <v>0</v>
      </c>
      <c r="W109" s="99">
        <v>0</v>
      </c>
      <c r="X109" s="98">
        <v>0</v>
      </c>
      <c r="Y109" s="99">
        <v>0</v>
      </c>
      <c r="Z109" s="100">
        <v>0</v>
      </c>
      <c r="AA109" s="3"/>
      <c r="AB109" s="26">
        <v>102</v>
      </c>
      <c r="AC109" s="26">
        <v>15</v>
      </c>
      <c r="AD109" s="26">
        <v>6</v>
      </c>
      <c r="AE109" s="26">
        <v>6</v>
      </c>
      <c r="AF109" s="26">
        <v>0</v>
      </c>
      <c r="AG109" s="26">
        <v>12</v>
      </c>
    </row>
    <row r="110" spans="1:33" ht="27.75" thickBot="1" x14ac:dyDescent="0.3">
      <c r="A110" s="28" t="s">
        <v>188</v>
      </c>
      <c r="B110" s="114" t="s">
        <v>204</v>
      </c>
      <c r="C110" s="30" t="s">
        <v>205</v>
      </c>
      <c r="D110" s="30" t="s">
        <v>206</v>
      </c>
      <c r="E110" s="98">
        <v>0</v>
      </c>
      <c r="F110" s="98">
        <v>2</v>
      </c>
      <c r="G110" s="98">
        <v>0</v>
      </c>
      <c r="H110" s="98">
        <v>0</v>
      </c>
      <c r="I110" s="99">
        <v>0</v>
      </c>
      <c r="J110" s="99">
        <v>0</v>
      </c>
      <c r="K110" s="24">
        <v>0</v>
      </c>
      <c r="L110" s="98">
        <v>0</v>
      </c>
      <c r="M110" s="99">
        <v>0</v>
      </c>
      <c r="N110" s="98">
        <v>0</v>
      </c>
      <c r="O110" s="98">
        <v>0</v>
      </c>
      <c r="P110" s="98">
        <v>0</v>
      </c>
      <c r="Q110" s="98">
        <v>0</v>
      </c>
      <c r="R110" s="98">
        <v>0</v>
      </c>
      <c r="S110" s="99">
        <v>0</v>
      </c>
      <c r="T110" s="98">
        <v>0</v>
      </c>
      <c r="U110" s="98">
        <v>0</v>
      </c>
      <c r="V110" s="98">
        <v>0</v>
      </c>
      <c r="W110" s="99">
        <v>0</v>
      </c>
      <c r="X110" s="98">
        <v>0</v>
      </c>
      <c r="Y110" s="99">
        <v>0</v>
      </c>
      <c r="Z110" s="100">
        <v>0</v>
      </c>
      <c r="AA110" s="38">
        <f>AA115*7.5</f>
        <v>2177244032.5108805</v>
      </c>
      <c r="AB110" s="26">
        <v>14</v>
      </c>
      <c r="AC110" s="26">
        <v>2</v>
      </c>
      <c r="AD110" s="26">
        <v>1</v>
      </c>
      <c r="AE110" s="26">
        <v>1</v>
      </c>
      <c r="AF110" s="26">
        <v>0</v>
      </c>
      <c r="AG110" s="26">
        <v>0</v>
      </c>
    </row>
    <row r="111" spans="1:33" ht="15.75" thickBot="1" x14ac:dyDescent="0.3">
      <c r="A111" s="62" t="s">
        <v>188</v>
      </c>
      <c r="B111" s="115" t="s">
        <v>204</v>
      </c>
      <c r="C111" s="64" t="s">
        <v>207</v>
      </c>
      <c r="D111" s="64" t="s">
        <v>208</v>
      </c>
      <c r="E111" s="116">
        <v>0</v>
      </c>
      <c r="F111" s="117">
        <v>1</v>
      </c>
      <c r="G111" s="117">
        <v>0</v>
      </c>
      <c r="H111" s="117">
        <v>0</v>
      </c>
      <c r="I111" s="118">
        <v>0</v>
      </c>
      <c r="J111" s="118">
        <v>0</v>
      </c>
      <c r="K111" s="24">
        <v>0</v>
      </c>
      <c r="L111" s="117">
        <v>0</v>
      </c>
      <c r="M111" s="118">
        <v>0</v>
      </c>
      <c r="N111" s="116">
        <v>0</v>
      </c>
      <c r="O111" s="116">
        <v>0</v>
      </c>
      <c r="P111" s="116">
        <v>0</v>
      </c>
      <c r="Q111" s="116">
        <v>0</v>
      </c>
      <c r="R111" s="116">
        <v>0</v>
      </c>
      <c r="S111" s="118">
        <v>0</v>
      </c>
      <c r="T111" s="116">
        <v>0</v>
      </c>
      <c r="U111" s="117">
        <v>0</v>
      </c>
      <c r="V111" s="117">
        <v>0</v>
      </c>
      <c r="W111" s="118">
        <v>0</v>
      </c>
      <c r="X111" s="116">
        <v>0</v>
      </c>
      <c r="Y111" s="118">
        <v>0</v>
      </c>
      <c r="Z111" s="119">
        <v>0</v>
      </c>
      <c r="AA111" s="3"/>
      <c r="AB111" s="35">
        <v>6</v>
      </c>
      <c r="AC111" s="35">
        <v>1</v>
      </c>
      <c r="AD111" s="35">
        <v>1</v>
      </c>
      <c r="AE111" s="35">
        <v>1</v>
      </c>
      <c r="AF111" s="35">
        <v>0</v>
      </c>
      <c r="AG111" s="35">
        <v>0</v>
      </c>
    </row>
    <row r="112" spans="1:33" ht="15.75" thickBot="1" x14ac:dyDescent="0.3">
      <c r="A112" s="202" t="s">
        <v>94</v>
      </c>
      <c r="B112" s="203"/>
      <c r="C112" s="203"/>
      <c r="D112" s="204"/>
      <c r="E112" s="39">
        <f>SUM(E100:E111)</f>
        <v>1</v>
      </c>
      <c r="F112" s="40">
        <f t="shared" ref="F112:AG112" si="25">SUM(F100:F111)</f>
        <v>25</v>
      </c>
      <c r="G112" s="40">
        <f t="shared" si="25"/>
        <v>2</v>
      </c>
      <c r="H112" s="40">
        <f t="shared" si="25"/>
        <v>2</v>
      </c>
      <c r="I112" s="41">
        <f t="shared" si="25"/>
        <v>0</v>
      </c>
      <c r="J112" s="41">
        <f t="shared" si="25"/>
        <v>0</v>
      </c>
      <c r="K112" s="41"/>
      <c r="L112" s="40">
        <f t="shared" si="25"/>
        <v>1</v>
      </c>
      <c r="M112" s="41">
        <f t="shared" si="25"/>
        <v>0</v>
      </c>
      <c r="N112" s="40">
        <f t="shared" si="25"/>
        <v>2</v>
      </c>
      <c r="O112" s="40">
        <f t="shared" si="25"/>
        <v>0</v>
      </c>
      <c r="P112" s="40">
        <f t="shared" si="25"/>
        <v>2</v>
      </c>
      <c r="Q112" s="40">
        <f t="shared" si="25"/>
        <v>0</v>
      </c>
      <c r="R112" s="40">
        <f t="shared" si="25"/>
        <v>0</v>
      </c>
      <c r="S112" s="41">
        <f t="shared" si="25"/>
        <v>0</v>
      </c>
      <c r="T112" s="40">
        <f t="shared" si="25"/>
        <v>0</v>
      </c>
      <c r="U112" s="40">
        <f t="shared" si="25"/>
        <v>1</v>
      </c>
      <c r="V112" s="40">
        <f t="shared" si="25"/>
        <v>0</v>
      </c>
      <c r="W112" s="41">
        <f t="shared" si="25"/>
        <v>0</v>
      </c>
      <c r="X112" s="40">
        <f t="shared" si="25"/>
        <v>0</v>
      </c>
      <c r="Y112" s="41">
        <f t="shared" si="25"/>
        <v>0</v>
      </c>
      <c r="Z112" s="42">
        <f t="shared" si="25"/>
        <v>0</v>
      </c>
      <c r="AA112" s="43">
        <f>SUM(E112:Z112)</f>
        <v>36</v>
      </c>
      <c r="AB112" s="44">
        <f t="shared" si="25"/>
        <v>186</v>
      </c>
      <c r="AC112" s="44">
        <f t="shared" si="25"/>
        <v>24</v>
      </c>
      <c r="AD112" s="44">
        <f t="shared" si="25"/>
        <v>14</v>
      </c>
      <c r="AE112" s="44">
        <f t="shared" si="25"/>
        <v>14</v>
      </c>
      <c r="AF112" s="44">
        <f t="shared" si="25"/>
        <v>3</v>
      </c>
      <c r="AG112" s="44">
        <f t="shared" si="25"/>
        <v>19</v>
      </c>
    </row>
    <row r="113" spans="1:33" s="75" customFormat="1" ht="15.75" thickBot="1" x14ac:dyDescent="0.3">
      <c r="A113" s="68"/>
      <c r="B113" s="69"/>
      <c r="C113" s="69"/>
      <c r="D113" s="69"/>
      <c r="E113" s="70"/>
      <c r="F113" s="70"/>
      <c r="G113" s="70"/>
      <c r="H113" s="70"/>
      <c r="I113" s="71"/>
      <c r="J113" s="71"/>
      <c r="K113" s="71"/>
      <c r="L113" s="70"/>
      <c r="M113" s="71"/>
      <c r="N113" s="70"/>
      <c r="O113" s="70"/>
      <c r="P113" s="70"/>
      <c r="Q113" s="70"/>
      <c r="R113" s="70"/>
      <c r="S113" s="71"/>
      <c r="T113" s="70"/>
      <c r="U113" s="70"/>
      <c r="V113" s="70"/>
      <c r="W113" s="71"/>
      <c r="X113" s="70"/>
      <c r="Y113" s="71"/>
      <c r="Z113" s="72"/>
      <c r="AA113" s="73">
        <f>SUM(E113:Z113)</f>
        <v>0</v>
      </c>
      <c r="AB113" s="74"/>
      <c r="AC113" s="74"/>
      <c r="AD113" s="74"/>
      <c r="AE113" s="74"/>
      <c r="AF113" s="74"/>
      <c r="AG113" s="74"/>
    </row>
    <row r="114" spans="1:33" ht="15.75" thickBot="1" x14ac:dyDescent="0.3">
      <c r="A114" s="45"/>
      <c r="B114" s="199" t="s">
        <v>95</v>
      </c>
      <c r="C114" s="199"/>
      <c r="D114" s="46"/>
      <c r="E114" s="47"/>
      <c r="F114" s="47"/>
      <c r="G114" s="47"/>
      <c r="H114" s="47"/>
      <c r="I114" s="48"/>
      <c r="J114" s="48"/>
      <c r="K114" s="48"/>
      <c r="L114" s="47"/>
      <c r="M114" s="48"/>
      <c r="N114" s="47"/>
      <c r="O114" s="47"/>
      <c r="P114" s="47"/>
      <c r="Q114" s="47"/>
      <c r="R114" s="47"/>
      <c r="S114" s="48"/>
      <c r="T114" s="47"/>
      <c r="U114" s="47"/>
      <c r="V114" s="47"/>
      <c r="W114" s="48"/>
      <c r="X114" s="47"/>
      <c r="Y114" s="48"/>
      <c r="Z114" s="49"/>
      <c r="AA114" s="53">
        <f>SUM(E114:Z114)</f>
        <v>0</v>
      </c>
      <c r="AB114" s="74"/>
      <c r="AC114" s="74"/>
      <c r="AD114" s="74"/>
      <c r="AE114" s="74"/>
      <c r="AF114" s="74"/>
      <c r="AG114" s="74"/>
    </row>
    <row r="115" spans="1:33" ht="15.75" thickBot="1" x14ac:dyDescent="0.3">
      <c r="A115" s="205" t="s">
        <v>96</v>
      </c>
      <c r="B115" s="206"/>
      <c r="C115" s="206"/>
      <c r="D115" s="206"/>
      <c r="E115" s="54">
        <f t="shared" ref="E115:J115" si="26">E112*E5</f>
        <v>9022860.1389849987</v>
      </c>
      <c r="F115" s="54">
        <f t="shared" si="26"/>
        <v>221470203.41145</v>
      </c>
      <c r="G115" s="54">
        <f t="shared" si="26"/>
        <v>17717616.272916</v>
      </c>
      <c r="H115" s="54">
        <f t="shared" si="26"/>
        <v>18209772.280497</v>
      </c>
      <c r="I115" s="55">
        <f t="shared" si="26"/>
        <v>0</v>
      </c>
      <c r="J115" s="55">
        <f t="shared" si="26"/>
        <v>0</v>
      </c>
      <c r="K115" s="55"/>
      <c r="L115" s="54">
        <f>L112*L5</f>
        <v>5482152.6133179013</v>
      </c>
      <c r="M115" s="55">
        <f>M112*M5</f>
        <v>0</v>
      </c>
      <c r="N115" s="54">
        <f t="shared" ref="N115:Z115" si="27">N112*N5</f>
        <v>9397975.9085449707</v>
      </c>
      <c r="O115" s="54">
        <f t="shared" si="27"/>
        <v>0</v>
      </c>
      <c r="P115" s="54">
        <f t="shared" si="27"/>
        <v>5559437.5280971806</v>
      </c>
      <c r="Q115" s="54">
        <f t="shared" si="27"/>
        <v>0</v>
      </c>
      <c r="R115" s="54">
        <f t="shared" si="27"/>
        <v>0</v>
      </c>
      <c r="S115" s="55">
        <f t="shared" si="27"/>
        <v>0</v>
      </c>
      <c r="T115" s="54">
        <f t="shared" si="27"/>
        <v>0</v>
      </c>
      <c r="U115" s="54">
        <f t="shared" si="27"/>
        <v>3439186.1809760281</v>
      </c>
      <c r="V115" s="54">
        <f t="shared" si="27"/>
        <v>0</v>
      </c>
      <c r="W115" s="55">
        <f t="shared" si="27"/>
        <v>0</v>
      </c>
      <c r="X115" s="54">
        <f t="shared" si="27"/>
        <v>0</v>
      </c>
      <c r="Y115" s="55">
        <f t="shared" si="27"/>
        <v>0</v>
      </c>
      <c r="Z115" s="56">
        <f t="shared" si="27"/>
        <v>0</v>
      </c>
      <c r="AA115" s="57">
        <f>SUM(E115:Z115)</f>
        <v>290299204.33478403</v>
      </c>
      <c r="AB115" s="77">
        <f t="shared" ref="AB115:AG115" si="28">AB112*AB5</f>
        <v>2621929.6973333335</v>
      </c>
      <c r="AC115" s="77">
        <f t="shared" si="28"/>
        <v>1315016.0053333333</v>
      </c>
      <c r="AD115" s="77">
        <f t="shared" si="28"/>
        <v>982671.21866666665</v>
      </c>
      <c r="AE115" s="77">
        <f t="shared" si="28"/>
        <v>713532.99111111101</v>
      </c>
      <c r="AF115" s="77">
        <f t="shared" si="28"/>
        <v>482152.61733333336</v>
      </c>
      <c r="AG115" s="77">
        <f t="shared" si="28"/>
        <v>1027573.2506666668</v>
      </c>
    </row>
    <row r="116" spans="1:33" ht="27.75" thickBot="1" x14ac:dyDescent="0.3">
      <c r="A116" s="20" t="s">
        <v>209</v>
      </c>
      <c r="B116" s="120" t="s">
        <v>210</v>
      </c>
      <c r="C116" s="121" t="s">
        <v>211</v>
      </c>
      <c r="D116" s="121" t="s">
        <v>212</v>
      </c>
      <c r="E116" s="23">
        <v>0</v>
      </c>
      <c r="F116" s="23">
        <v>1</v>
      </c>
      <c r="G116" s="23">
        <v>0</v>
      </c>
      <c r="H116" s="23">
        <v>0</v>
      </c>
      <c r="I116" s="24">
        <v>0</v>
      </c>
      <c r="J116" s="24">
        <v>0</v>
      </c>
      <c r="K116" s="24">
        <v>0</v>
      </c>
      <c r="L116" s="23">
        <v>0</v>
      </c>
      <c r="M116" s="24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4">
        <v>0</v>
      </c>
      <c r="T116" s="23">
        <v>0</v>
      </c>
      <c r="U116" s="23">
        <v>0</v>
      </c>
      <c r="V116" s="23">
        <v>0</v>
      </c>
      <c r="W116" s="24">
        <v>0</v>
      </c>
      <c r="X116" s="23">
        <v>0</v>
      </c>
      <c r="Y116" s="24">
        <v>0</v>
      </c>
      <c r="Z116" s="25">
        <v>0</v>
      </c>
      <c r="AA116" s="3"/>
      <c r="AB116" s="26">
        <v>28</v>
      </c>
      <c r="AC116" s="26">
        <v>2</v>
      </c>
      <c r="AD116" s="26">
        <v>1</v>
      </c>
      <c r="AE116" s="26">
        <v>1</v>
      </c>
      <c r="AF116" s="26">
        <v>1</v>
      </c>
      <c r="AG116" s="26">
        <v>0</v>
      </c>
    </row>
    <row r="117" spans="1:33" ht="27.75" thickBot="1" x14ac:dyDescent="0.3">
      <c r="A117" s="28" t="s">
        <v>209</v>
      </c>
      <c r="B117" s="122" t="s">
        <v>210</v>
      </c>
      <c r="C117" s="123" t="s">
        <v>213</v>
      </c>
      <c r="D117" s="123" t="s">
        <v>212</v>
      </c>
      <c r="E117" s="31">
        <v>0</v>
      </c>
      <c r="F117" s="31">
        <v>2</v>
      </c>
      <c r="G117" s="31">
        <v>0</v>
      </c>
      <c r="H117" s="31">
        <v>0</v>
      </c>
      <c r="I117" s="32">
        <v>0</v>
      </c>
      <c r="J117" s="32">
        <v>0</v>
      </c>
      <c r="K117" s="24">
        <v>0</v>
      </c>
      <c r="L117" s="31">
        <v>0</v>
      </c>
      <c r="M117" s="32">
        <v>0</v>
      </c>
      <c r="N117" s="31">
        <v>2</v>
      </c>
      <c r="O117" s="31">
        <v>0</v>
      </c>
      <c r="P117" s="31">
        <v>0</v>
      </c>
      <c r="Q117" s="31">
        <v>0</v>
      </c>
      <c r="R117" s="31">
        <v>0</v>
      </c>
      <c r="S117" s="32">
        <v>0</v>
      </c>
      <c r="T117" s="31">
        <v>0</v>
      </c>
      <c r="U117" s="31">
        <v>0</v>
      </c>
      <c r="V117" s="31">
        <v>0</v>
      </c>
      <c r="W117" s="32">
        <v>0</v>
      </c>
      <c r="X117" s="31">
        <v>0</v>
      </c>
      <c r="Y117" s="32">
        <v>0</v>
      </c>
      <c r="Z117" s="33">
        <v>0</v>
      </c>
      <c r="AA117" s="3"/>
      <c r="AB117" s="26">
        <v>8</v>
      </c>
      <c r="AC117" s="26">
        <v>1</v>
      </c>
      <c r="AD117" s="26">
        <v>1</v>
      </c>
      <c r="AE117" s="26">
        <v>1</v>
      </c>
      <c r="AF117" s="26"/>
      <c r="AG117" s="26">
        <v>1</v>
      </c>
    </row>
    <row r="118" spans="1:33" ht="27.75" thickBot="1" x14ac:dyDescent="0.3">
      <c r="A118" s="28" t="s">
        <v>209</v>
      </c>
      <c r="B118" s="122" t="s">
        <v>210</v>
      </c>
      <c r="C118" s="123" t="s">
        <v>214</v>
      </c>
      <c r="D118" s="123" t="s">
        <v>212</v>
      </c>
      <c r="E118" s="31">
        <v>0</v>
      </c>
      <c r="F118" s="31">
        <v>0</v>
      </c>
      <c r="G118" s="31">
        <v>0</v>
      </c>
      <c r="H118" s="31">
        <v>0</v>
      </c>
      <c r="I118" s="32">
        <v>0</v>
      </c>
      <c r="J118" s="32">
        <v>0</v>
      </c>
      <c r="K118" s="24">
        <v>0</v>
      </c>
      <c r="L118" s="31">
        <v>0</v>
      </c>
      <c r="M118" s="32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2">
        <v>0</v>
      </c>
      <c r="T118" s="31">
        <v>0</v>
      </c>
      <c r="U118" s="31">
        <v>0</v>
      </c>
      <c r="V118" s="31">
        <v>0</v>
      </c>
      <c r="W118" s="32">
        <v>0</v>
      </c>
      <c r="X118" s="31">
        <v>1</v>
      </c>
      <c r="Y118" s="32">
        <v>0</v>
      </c>
      <c r="Z118" s="33">
        <v>0</v>
      </c>
      <c r="AA118" s="3"/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</row>
    <row r="119" spans="1:33" ht="41.25" thickBot="1" x14ac:dyDescent="0.3">
      <c r="A119" s="28" t="s">
        <v>209</v>
      </c>
      <c r="B119" s="122" t="s">
        <v>210</v>
      </c>
      <c r="C119" s="123" t="s">
        <v>215</v>
      </c>
      <c r="D119" s="123" t="s">
        <v>212</v>
      </c>
      <c r="E119" s="31">
        <v>0</v>
      </c>
      <c r="F119" s="31">
        <v>0</v>
      </c>
      <c r="G119" s="31">
        <v>0</v>
      </c>
      <c r="H119" s="31">
        <v>0</v>
      </c>
      <c r="I119" s="32">
        <v>0</v>
      </c>
      <c r="J119" s="32">
        <v>0</v>
      </c>
      <c r="K119" s="24">
        <v>0</v>
      </c>
      <c r="L119" s="31">
        <v>0</v>
      </c>
      <c r="M119" s="32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2">
        <v>0</v>
      </c>
      <c r="T119" s="31">
        <v>0</v>
      </c>
      <c r="U119" s="31">
        <v>0</v>
      </c>
      <c r="V119" s="31">
        <v>0</v>
      </c>
      <c r="W119" s="32">
        <v>0</v>
      </c>
      <c r="X119" s="31">
        <v>0</v>
      </c>
      <c r="Y119" s="32">
        <v>0</v>
      </c>
      <c r="Z119" s="33">
        <v>0</v>
      </c>
      <c r="AA119" s="3"/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</row>
    <row r="120" spans="1:33" ht="27.75" thickBot="1" x14ac:dyDescent="0.3">
      <c r="A120" s="28" t="s">
        <v>209</v>
      </c>
      <c r="B120" s="122" t="s">
        <v>210</v>
      </c>
      <c r="C120" s="123" t="s">
        <v>216</v>
      </c>
      <c r="D120" s="123" t="s">
        <v>212</v>
      </c>
      <c r="E120" s="31">
        <v>0</v>
      </c>
      <c r="F120" s="31">
        <v>1</v>
      </c>
      <c r="G120" s="31">
        <v>0</v>
      </c>
      <c r="H120" s="31">
        <v>0</v>
      </c>
      <c r="I120" s="32">
        <v>0</v>
      </c>
      <c r="J120" s="32">
        <v>0</v>
      </c>
      <c r="K120" s="24">
        <v>0</v>
      </c>
      <c r="L120" s="31">
        <v>0</v>
      </c>
      <c r="M120" s="32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2">
        <v>0</v>
      </c>
      <c r="T120" s="31">
        <v>0</v>
      </c>
      <c r="U120" s="31">
        <v>0</v>
      </c>
      <c r="V120" s="31">
        <v>0</v>
      </c>
      <c r="W120" s="32">
        <v>0</v>
      </c>
      <c r="X120" s="31">
        <v>0</v>
      </c>
      <c r="Y120" s="32">
        <v>0</v>
      </c>
      <c r="Z120" s="33">
        <v>0</v>
      </c>
      <c r="AA120" s="3"/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</row>
    <row r="121" spans="1:33" ht="27.75" thickBot="1" x14ac:dyDescent="0.3">
      <c r="A121" s="28" t="s">
        <v>209</v>
      </c>
      <c r="B121" s="122" t="s">
        <v>210</v>
      </c>
      <c r="C121" s="123" t="s">
        <v>217</v>
      </c>
      <c r="D121" s="123" t="s">
        <v>212</v>
      </c>
      <c r="E121" s="31">
        <v>0</v>
      </c>
      <c r="F121" s="31">
        <v>0</v>
      </c>
      <c r="G121" s="31">
        <v>0</v>
      </c>
      <c r="H121" s="31">
        <v>0</v>
      </c>
      <c r="I121" s="32">
        <v>0</v>
      </c>
      <c r="J121" s="32">
        <v>0</v>
      </c>
      <c r="K121" s="24">
        <v>0</v>
      </c>
      <c r="L121" s="31">
        <v>0</v>
      </c>
      <c r="M121" s="32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2">
        <v>0</v>
      </c>
      <c r="T121" s="31">
        <v>0</v>
      </c>
      <c r="U121" s="31">
        <v>0</v>
      </c>
      <c r="V121" s="31">
        <v>0</v>
      </c>
      <c r="W121" s="32">
        <v>0</v>
      </c>
      <c r="X121" s="31">
        <v>0</v>
      </c>
      <c r="Y121" s="32">
        <v>0</v>
      </c>
      <c r="Z121" s="33">
        <v>0</v>
      </c>
      <c r="AA121" s="38">
        <f>AA126*7.5</f>
        <v>419368437.76555389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</row>
    <row r="122" spans="1:33" ht="27.75" thickBot="1" x14ac:dyDescent="0.3">
      <c r="A122" s="62" t="s">
        <v>209</v>
      </c>
      <c r="B122" s="124" t="s">
        <v>210</v>
      </c>
      <c r="C122" s="125" t="s">
        <v>218</v>
      </c>
      <c r="D122" s="125" t="s">
        <v>219</v>
      </c>
      <c r="E122" s="65">
        <v>0</v>
      </c>
      <c r="F122" s="65">
        <v>1</v>
      </c>
      <c r="G122" s="65">
        <v>0</v>
      </c>
      <c r="H122" s="65">
        <v>0</v>
      </c>
      <c r="I122" s="66">
        <v>0</v>
      </c>
      <c r="J122" s="66">
        <v>0</v>
      </c>
      <c r="K122" s="24">
        <v>0</v>
      </c>
      <c r="L122" s="65">
        <v>0</v>
      </c>
      <c r="M122" s="66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6">
        <v>0</v>
      </c>
      <c r="T122" s="65">
        <v>0</v>
      </c>
      <c r="U122" s="65">
        <v>0</v>
      </c>
      <c r="V122" s="65">
        <v>0</v>
      </c>
      <c r="W122" s="66">
        <v>0</v>
      </c>
      <c r="X122" s="65">
        <v>0</v>
      </c>
      <c r="Y122" s="66">
        <v>0</v>
      </c>
      <c r="Z122" s="67">
        <v>0</v>
      </c>
      <c r="AA122" s="3"/>
      <c r="AB122" s="26">
        <v>15</v>
      </c>
      <c r="AC122" s="26">
        <v>5</v>
      </c>
      <c r="AD122" s="26">
        <v>3</v>
      </c>
      <c r="AE122" s="26">
        <v>2</v>
      </c>
      <c r="AF122" s="26">
        <v>1</v>
      </c>
      <c r="AG122" s="26">
        <v>8</v>
      </c>
    </row>
    <row r="123" spans="1:33" ht="15.75" thickBot="1" x14ac:dyDescent="0.3">
      <c r="A123" s="202" t="s">
        <v>94</v>
      </c>
      <c r="B123" s="203"/>
      <c r="C123" s="203"/>
      <c r="D123" s="204"/>
      <c r="E123" s="39">
        <f>SUM(E116:E122)</f>
        <v>0</v>
      </c>
      <c r="F123" s="40">
        <f t="shared" ref="F123:AG123" si="29">SUM(F116:F122)</f>
        <v>5</v>
      </c>
      <c r="G123" s="40">
        <f t="shared" si="29"/>
        <v>0</v>
      </c>
      <c r="H123" s="40">
        <f t="shared" si="29"/>
        <v>0</v>
      </c>
      <c r="I123" s="41">
        <f t="shared" si="29"/>
        <v>0</v>
      </c>
      <c r="J123" s="41">
        <f t="shared" si="29"/>
        <v>0</v>
      </c>
      <c r="K123" s="41"/>
      <c r="L123" s="40">
        <f t="shared" si="29"/>
        <v>0</v>
      </c>
      <c r="M123" s="41">
        <f t="shared" si="29"/>
        <v>0</v>
      </c>
      <c r="N123" s="40">
        <f t="shared" si="29"/>
        <v>2</v>
      </c>
      <c r="O123" s="40">
        <f t="shared" si="29"/>
        <v>0</v>
      </c>
      <c r="P123" s="40">
        <f t="shared" si="29"/>
        <v>0</v>
      </c>
      <c r="Q123" s="40">
        <f t="shared" si="29"/>
        <v>0</v>
      </c>
      <c r="R123" s="40">
        <f t="shared" si="29"/>
        <v>0</v>
      </c>
      <c r="S123" s="41">
        <f t="shared" si="29"/>
        <v>0</v>
      </c>
      <c r="T123" s="40">
        <f t="shared" si="29"/>
        <v>0</v>
      </c>
      <c r="U123" s="40">
        <f t="shared" si="29"/>
        <v>0</v>
      </c>
      <c r="V123" s="40">
        <f t="shared" si="29"/>
        <v>0</v>
      </c>
      <c r="W123" s="41">
        <f t="shared" si="29"/>
        <v>0</v>
      </c>
      <c r="X123" s="40">
        <f t="shared" si="29"/>
        <v>1</v>
      </c>
      <c r="Y123" s="41">
        <f t="shared" si="29"/>
        <v>0</v>
      </c>
      <c r="Z123" s="42">
        <f t="shared" si="29"/>
        <v>0</v>
      </c>
      <c r="AA123" s="43">
        <f>SUM(E123:Z123)</f>
        <v>8</v>
      </c>
      <c r="AB123" s="44">
        <f t="shared" si="29"/>
        <v>51</v>
      </c>
      <c r="AC123" s="44">
        <f t="shared" si="29"/>
        <v>8</v>
      </c>
      <c r="AD123" s="44">
        <f t="shared" si="29"/>
        <v>5</v>
      </c>
      <c r="AE123" s="44">
        <f t="shared" si="29"/>
        <v>4</v>
      </c>
      <c r="AF123" s="44">
        <f t="shared" si="29"/>
        <v>2</v>
      </c>
      <c r="AG123" s="44">
        <f t="shared" si="29"/>
        <v>9</v>
      </c>
    </row>
    <row r="124" spans="1:33" s="75" customFormat="1" ht="15.75" thickBot="1" x14ac:dyDescent="0.3">
      <c r="A124" s="68"/>
      <c r="B124" s="69"/>
      <c r="C124" s="69"/>
      <c r="D124" s="69"/>
      <c r="E124" s="70"/>
      <c r="F124" s="70"/>
      <c r="G124" s="70"/>
      <c r="H124" s="70"/>
      <c r="I124" s="71"/>
      <c r="J124" s="71"/>
      <c r="K124" s="71"/>
      <c r="L124" s="70"/>
      <c r="M124" s="71"/>
      <c r="N124" s="70"/>
      <c r="O124" s="70"/>
      <c r="P124" s="70"/>
      <c r="Q124" s="70"/>
      <c r="R124" s="70"/>
      <c r="S124" s="71"/>
      <c r="T124" s="70"/>
      <c r="U124" s="70"/>
      <c r="V124" s="70"/>
      <c r="W124" s="71"/>
      <c r="X124" s="70"/>
      <c r="Y124" s="71"/>
      <c r="Z124" s="72"/>
      <c r="AA124" s="73">
        <f>SUM(E124:Z124)</f>
        <v>0</v>
      </c>
      <c r="AB124" s="74"/>
      <c r="AC124" s="74"/>
      <c r="AD124" s="74"/>
      <c r="AE124" s="74"/>
      <c r="AF124" s="74"/>
      <c r="AG124" s="74"/>
    </row>
    <row r="125" spans="1:33" ht="15.75" thickBot="1" x14ac:dyDescent="0.3">
      <c r="A125" s="45"/>
      <c r="B125" s="199" t="s">
        <v>95</v>
      </c>
      <c r="C125" s="199"/>
      <c r="D125" s="46"/>
      <c r="E125" s="47"/>
      <c r="F125" s="47"/>
      <c r="G125" s="47"/>
      <c r="H125" s="47"/>
      <c r="I125" s="48"/>
      <c r="J125" s="48"/>
      <c r="K125" s="48"/>
      <c r="L125" s="47"/>
      <c r="M125" s="48"/>
      <c r="N125" s="47"/>
      <c r="O125" s="47"/>
      <c r="P125" s="47"/>
      <c r="Q125" s="47"/>
      <c r="R125" s="47"/>
      <c r="S125" s="48"/>
      <c r="T125" s="47"/>
      <c r="U125" s="47"/>
      <c r="V125" s="47"/>
      <c r="W125" s="48"/>
      <c r="X125" s="47"/>
      <c r="Y125" s="48"/>
      <c r="Z125" s="49"/>
      <c r="AA125" s="53">
        <f>SUM(E125:Z125)</f>
        <v>0</v>
      </c>
      <c r="AB125" s="74"/>
      <c r="AC125" s="74"/>
      <c r="AD125" s="74"/>
      <c r="AE125" s="74"/>
      <c r="AF125" s="74"/>
      <c r="AG125" s="74"/>
    </row>
    <row r="126" spans="1:33" ht="15.75" thickBot="1" x14ac:dyDescent="0.3">
      <c r="A126" s="205" t="s">
        <v>96</v>
      </c>
      <c r="B126" s="206"/>
      <c r="C126" s="206"/>
      <c r="D126" s="206"/>
      <c r="E126" s="126">
        <f t="shared" ref="E126:J126" si="30">E123*E5</f>
        <v>0</v>
      </c>
      <c r="F126" s="126">
        <f t="shared" si="30"/>
        <v>44294040.682290003</v>
      </c>
      <c r="G126" s="126">
        <f t="shared" si="30"/>
        <v>0</v>
      </c>
      <c r="H126" s="126">
        <f t="shared" si="30"/>
        <v>0</v>
      </c>
      <c r="I126" s="127">
        <f t="shared" si="30"/>
        <v>0</v>
      </c>
      <c r="J126" s="127">
        <f t="shared" si="30"/>
        <v>0</v>
      </c>
      <c r="K126" s="127"/>
      <c r="L126" s="126">
        <f>L123*L5</f>
        <v>0</v>
      </c>
      <c r="M126" s="127">
        <f>M123*M5</f>
        <v>0</v>
      </c>
      <c r="N126" s="126">
        <f t="shared" ref="N126:Z126" si="31">N123*N5</f>
        <v>9397975.9085449707</v>
      </c>
      <c r="O126" s="126">
        <f t="shared" si="31"/>
        <v>0</v>
      </c>
      <c r="P126" s="126">
        <f t="shared" si="31"/>
        <v>0</v>
      </c>
      <c r="Q126" s="126">
        <f t="shared" si="31"/>
        <v>0</v>
      </c>
      <c r="R126" s="126">
        <f t="shared" si="31"/>
        <v>0</v>
      </c>
      <c r="S126" s="127">
        <f t="shared" si="31"/>
        <v>0</v>
      </c>
      <c r="T126" s="126">
        <f t="shared" si="31"/>
        <v>0</v>
      </c>
      <c r="U126" s="126">
        <f t="shared" si="31"/>
        <v>0</v>
      </c>
      <c r="V126" s="126">
        <f t="shared" si="31"/>
        <v>0</v>
      </c>
      <c r="W126" s="127">
        <f t="shared" si="31"/>
        <v>0</v>
      </c>
      <c r="X126" s="126">
        <f t="shared" si="31"/>
        <v>2223775.0112388725</v>
      </c>
      <c r="Y126" s="127">
        <f t="shared" si="31"/>
        <v>0</v>
      </c>
      <c r="Z126" s="128">
        <f t="shared" si="31"/>
        <v>0</v>
      </c>
      <c r="AA126" s="57">
        <f>SUM(E126:Z126)+0.1</f>
        <v>55915791.70207385</v>
      </c>
      <c r="AB126" s="129">
        <f>AB123*AB2</f>
        <v>604131.26666666672</v>
      </c>
      <c r="AC126" s="129">
        <f t="shared" ref="AC126:AG126" si="32">AC123*AC2</f>
        <v>368351.82222222222</v>
      </c>
      <c r="AD126" s="129">
        <f t="shared" si="32"/>
        <v>294919.33333333337</v>
      </c>
      <c r="AE126" s="129">
        <f t="shared" si="32"/>
        <v>171316.44444444444</v>
      </c>
      <c r="AF126" s="129">
        <f t="shared" si="32"/>
        <v>270113.51111111109</v>
      </c>
      <c r="AG126" s="129">
        <f t="shared" si="32"/>
        <v>409029.60000000003</v>
      </c>
    </row>
    <row r="127" spans="1:33" ht="27.75" thickBot="1" x14ac:dyDescent="0.3">
      <c r="A127" s="20" t="s">
        <v>220</v>
      </c>
      <c r="B127" s="120" t="s">
        <v>221</v>
      </c>
      <c r="C127" s="121" t="s">
        <v>222</v>
      </c>
      <c r="D127" s="121" t="s">
        <v>223</v>
      </c>
      <c r="E127" s="130">
        <v>0</v>
      </c>
      <c r="F127" s="130">
        <v>9</v>
      </c>
      <c r="G127" s="130">
        <v>0</v>
      </c>
      <c r="H127" s="130">
        <v>0</v>
      </c>
      <c r="I127" s="131">
        <v>0</v>
      </c>
      <c r="J127" s="131">
        <v>0</v>
      </c>
      <c r="K127" s="24">
        <v>0</v>
      </c>
      <c r="L127" s="130">
        <v>0</v>
      </c>
      <c r="M127" s="131">
        <v>0</v>
      </c>
      <c r="N127" s="130">
        <v>0</v>
      </c>
      <c r="O127" s="130">
        <v>0</v>
      </c>
      <c r="P127" s="130">
        <v>0</v>
      </c>
      <c r="Q127" s="130">
        <v>0</v>
      </c>
      <c r="R127" s="130">
        <v>0</v>
      </c>
      <c r="S127" s="131">
        <v>0</v>
      </c>
      <c r="T127" s="130">
        <v>0</v>
      </c>
      <c r="U127" s="130">
        <v>0</v>
      </c>
      <c r="V127" s="130">
        <v>0</v>
      </c>
      <c r="W127" s="131">
        <v>0</v>
      </c>
      <c r="X127" s="130">
        <v>0</v>
      </c>
      <c r="Y127" s="131">
        <v>0</v>
      </c>
      <c r="Z127" s="132">
        <v>0</v>
      </c>
      <c r="AA127" s="3"/>
      <c r="AB127" s="27">
        <f>38</f>
        <v>38</v>
      </c>
      <c r="AC127" s="26">
        <f>4</f>
        <v>4</v>
      </c>
      <c r="AD127" s="26">
        <v>2</v>
      </c>
      <c r="AE127" s="26">
        <v>2</v>
      </c>
      <c r="AF127" s="26">
        <v>1</v>
      </c>
      <c r="AG127" s="26">
        <f>3</f>
        <v>3</v>
      </c>
    </row>
    <row r="128" spans="1:33" ht="27.75" thickBot="1" x14ac:dyDescent="0.3">
      <c r="A128" s="28" t="s">
        <v>220</v>
      </c>
      <c r="B128" s="122" t="s">
        <v>224</v>
      </c>
      <c r="C128" s="123" t="s">
        <v>225</v>
      </c>
      <c r="D128" s="123" t="s">
        <v>223</v>
      </c>
      <c r="E128" s="31">
        <v>0</v>
      </c>
      <c r="F128" s="31">
        <v>1</v>
      </c>
      <c r="G128" s="31">
        <v>0</v>
      </c>
      <c r="H128" s="31">
        <v>0</v>
      </c>
      <c r="I128" s="32">
        <v>0</v>
      </c>
      <c r="J128" s="32">
        <v>0</v>
      </c>
      <c r="K128" s="24">
        <v>0</v>
      </c>
      <c r="L128" s="31">
        <v>0</v>
      </c>
      <c r="M128" s="32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2">
        <v>0</v>
      </c>
      <c r="T128" s="31">
        <v>0</v>
      </c>
      <c r="U128" s="31">
        <v>0</v>
      </c>
      <c r="V128" s="31">
        <v>0</v>
      </c>
      <c r="W128" s="32">
        <v>0</v>
      </c>
      <c r="X128" s="31">
        <v>0</v>
      </c>
      <c r="Y128" s="32">
        <v>0</v>
      </c>
      <c r="Z128" s="33">
        <v>0</v>
      </c>
      <c r="AA128" s="3"/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</row>
    <row r="129" spans="1:34" ht="27.75" thickBot="1" x14ac:dyDescent="0.3">
      <c r="A129" s="28" t="s">
        <v>220</v>
      </c>
      <c r="B129" s="122" t="s">
        <v>224</v>
      </c>
      <c r="C129" s="123" t="s">
        <v>226</v>
      </c>
      <c r="D129" s="123" t="s">
        <v>223</v>
      </c>
      <c r="E129" s="31">
        <v>0</v>
      </c>
      <c r="F129" s="31">
        <v>5</v>
      </c>
      <c r="G129" s="31">
        <v>1</v>
      </c>
      <c r="H129" s="31">
        <v>0</v>
      </c>
      <c r="I129" s="32">
        <v>0</v>
      </c>
      <c r="J129" s="32">
        <v>0</v>
      </c>
      <c r="K129" s="24">
        <v>0</v>
      </c>
      <c r="L129" s="31">
        <v>0</v>
      </c>
      <c r="M129" s="32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2">
        <v>0</v>
      </c>
      <c r="T129" s="31">
        <v>0</v>
      </c>
      <c r="U129" s="31">
        <v>0</v>
      </c>
      <c r="V129" s="31">
        <v>0</v>
      </c>
      <c r="W129" s="32">
        <v>0</v>
      </c>
      <c r="X129" s="31">
        <v>0</v>
      </c>
      <c r="Y129" s="32">
        <v>0</v>
      </c>
      <c r="Z129" s="33">
        <v>0</v>
      </c>
      <c r="AA129" s="3"/>
      <c r="AB129" s="26">
        <v>19</v>
      </c>
      <c r="AC129" s="26">
        <v>2</v>
      </c>
      <c r="AD129" s="26">
        <v>1</v>
      </c>
      <c r="AE129" s="26">
        <v>1</v>
      </c>
      <c r="AF129" s="26">
        <v>1</v>
      </c>
      <c r="AG129" s="26">
        <v>2</v>
      </c>
    </row>
    <row r="130" spans="1:34" ht="41.25" thickBot="1" x14ac:dyDescent="0.3">
      <c r="A130" s="28" t="s">
        <v>220</v>
      </c>
      <c r="B130" s="122" t="s">
        <v>224</v>
      </c>
      <c r="C130" s="123" t="s">
        <v>227</v>
      </c>
      <c r="D130" s="123" t="s">
        <v>228</v>
      </c>
      <c r="E130" s="31">
        <v>0</v>
      </c>
      <c r="F130" s="31"/>
      <c r="G130" s="31">
        <v>0</v>
      </c>
      <c r="H130" s="31">
        <v>0</v>
      </c>
      <c r="I130" s="32">
        <v>0</v>
      </c>
      <c r="J130" s="32">
        <v>0</v>
      </c>
      <c r="K130" s="24">
        <v>0</v>
      </c>
      <c r="L130" s="31">
        <v>0</v>
      </c>
      <c r="M130" s="32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2">
        <v>0</v>
      </c>
      <c r="T130" s="31">
        <v>0</v>
      </c>
      <c r="U130" s="31">
        <v>0</v>
      </c>
      <c r="V130" s="31">
        <v>0</v>
      </c>
      <c r="W130" s="32">
        <v>0</v>
      </c>
      <c r="X130" s="31">
        <v>0</v>
      </c>
      <c r="Y130" s="32">
        <v>0</v>
      </c>
      <c r="Z130" s="33">
        <v>0</v>
      </c>
      <c r="AA130" s="3"/>
      <c r="AB130" s="26"/>
      <c r="AC130" s="26"/>
      <c r="AD130" s="26"/>
      <c r="AE130" s="26"/>
      <c r="AF130" s="26"/>
      <c r="AG130" s="26"/>
    </row>
    <row r="131" spans="1:34" ht="27.75" thickBot="1" x14ac:dyDescent="0.3">
      <c r="A131" s="28" t="s">
        <v>220</v>
      </c>
      <c r="B131" s="122" t="s">
        <v>221</v>
      </c>
      <c r="C131" s="123" t="s">
        <v>229</v>
      </c>
      <c r="D131" s="123" t="s">
        <v>230</v>
      </c>
      <c r="E131" s="31">
        <v>0</v>
      </c>
      <c r="F131" s="31">
        <v>3</v>
      </c>
      <c r="G131" s="31">
        <v>0</v>
      </c>
      <c r="H131" s="31">
        <v>0</v>
      </c>
      <c r="I131" s="32">
        <v>0</v>
      </c>
      <c r="J131" s="32">
        <v>0</v>
      </c>
      <c r="K131" s="24">
        <v>0</v>
      </c>
      <c r="L131" s="31">
        <v>0</v>
      </c>
      <c r="M131" s="32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2">
        <v>0</v>
      </c>
      <c r="T131" s="31">
        <v>0</v>
      </c>
      <c r="U131" s="31">
        <v>0</v>
      </c>
      <c r="V131" s="31">
        <v>0</v>
      </c>
      <c r="W131" s="32">
        <v>0</v>
      </c>
      <c r="X131" s="31">
        <v>0</v>
      </c>
      <c r="Y131" s="32">
        <v>0</v>
      </c>
      <c r="Z131" s="33">
        <v>0</v>
      </c>
      <c r="AA131" s="3"/>
      <c r="AB131" s="26">
        <v>14</v>
      </c>
      <c r="AC131" s="26">
        <v>2</v>
      </c>
      <c r="AD131" s="26">
        <v>1</v>
      </c>
      <c r="AE131" s="26">
        <v>1</v>
      </c>
      <c r="AF131" s="26">
        <v>1</v>
      </c>
      <c r="AG131" s="26">
        <v>2</v>
      </c>
    </row>
    <row r="132" spans="1:34" ht="27.75" thickBot="1" x14ac:dyDescent="0.3">
      <c r="A132" s="28" t="s">
        <v>220</v>
      </c>
      <c r="B132" s="122" t="s">
        <v>231</v>
      </c>
      <c r="C132" s="123" t="s">
        <v>232</v>
      </c>
      <c r="D132" s="123" t="s">
        <v>233</v>
      </c>
      <c r="E132" s="31">
        <v>0</v>
      </c>
      <c r="F132" s="31">
        <v>2</v>
      </c>
      <c r="G132" s="31">
        <v>0</v>
      </c>
      <c r="H132" s="31">
        <v>0</v>
      </c>
      <c r="I132" s="32">
        <v>0</v>
      </c>
      <c r="J132" s="32">
        <v>0</v>
      </c>
      <c r="K132" s="24">
        <v>0</v>
      </c>
      <c r="L132" s="31">
        <v>0</v>
      </c>
      <c r="M132" s="32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2">
        <v>0</v>
      </c>
      <c r="T132" s="31">
        <v>0</v>
      </c>
      <c r="U132" s="31">
        <v>0</v>
      </c>
      <c r="V132" s="31">
        <v>0</v>
      </c>
      <c r="W132" s="32">
        <v>0</v>
      </c>
      <c r="X132" s="31">
        <v>0</v>
      </c>
      <c r="Y132" s="32">
        <v>0</v>
      </c>
      <c r="Z132" s="33">
        <v>0</v>
      </c>
      <c r="AA132" s="38">
        <f>AA135*7.5</f>
        <v>1461703342.5155699</v>
      </c>
      <c r="AB132" s="26">
        <v>16</v>
      </c>
      <c r="AC132" s="26">
        <v>0</v>
      </c>
      <c r="AD132" s="26">
        <v>1</v>
      </c>
      <c r="AE132" s="26">
        <v>1</v>
      </c>
      <c r="AF132" s="26">
        <v>1</v>
      </c>
      <c r="AG132" s="26">
        <v>0</v>
      </c>
    </row>
    <row r="133" spans="1:34" ht="27.75" thickBot="1" x14ac:dyDescent="0.3">
      <c r="A133" s="62" t="s">
        <v>220</v>
      </c>
      <c r="B133" s="124" t="s">
        <v>234</v>
      </c>
      <c r="C133" s="125" t="s">
        <v>235</v>
      </c>
      <c r="D133" s="125" t="s">
        <v>236</v>
      </c>
      <c r="E133" s="65">
        <v>0</v>
      </c>
      <c r="F133" s="65">
        <v>1</v>
      </c>
      <c r="G133" s="65">
        <v>0</v>
      </c>
      <c r="H133" s="65">
        <v>0</v>
      </c>
      <c r="I133" s="66">
        <v>0</v>
      </c>
      <c r="J133" s="66">
        <v>0</v>
      </c>
      <c r="K133" s="24">
        <v>0</v>
      </c>
      <c r="L133" s="65">
        <v>0</v>
      </c>
      <c r="M133" s="66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6">
        <v>0</v>
      </c>
      <c r="T133" s="65">
        <v>0</v>
      </c>
      <c r="U133" s="65">
        <v>0</v>
      </c>
      <c r="V133" s="65">
        <v>0</v>
      </c>
      <c r="W133" s="66">
        <v>0</v>
      </c>
      <c r="X133" s="65">
        <v>0</v>
      </c>
      <c r="Y133" s="66">
        <v>0</v>
      </c>
      <c r="Z133" s="67">
        <v>0</v>
      </c>
      <c r="AA133" s="3"/>
      <c r="AB133" s="35">
        <v>8</v>
      </c>
      <c r="AC133" s="133">
        <v>0</v>
      </c>
      <c r="AD133" s="133">
        <v>1</v>
      </c>
      <c r="AE133" s="133">
        <v>1</v>
      </c>
      <c r="AF133" s="133">
        <v>0</v>
      </c>
      <c r="AG133" s="133">
        <v>0</v>
      </c>
    </row>
    <row r="134" spans="1:34" ht="15.75" thickBot="1" x14ac:dyDescent="0.3">
      <c r="A134" s="202" t="s">
        <v>94</v>
      </c>
      <c r="B134" s="203"/>
      <c r="C134" s="203"/>
      <c r="D134" s="204"/>
      <c r="E134" s="39">
        <f>SUM(E127:E133)</f>
        <v>0</v>
      </c>
      <c r="F134" s="40">
        <f t="shared" ref="F134:AG134" si="33">SUM(F127:F133)</f>
        <v>21</v>
      </c>
      <c r="G134" s="40">
        <f t="shared" si="33"/>
        <v>1</v>
      </c>
      <c r="H134" s="40">
        <f t="shared" si="33"/>
        <v>0</v>
      </c>
      <c r="I134" s="41">
        <f t="shared" si="33"/>
        <v>0</v>
      </c>
      <c r="J134" s="41">
        <f t="shared" si="33"/>
        <v>0</v>
      </c>
      <c r="K134" s="41"/>
      <c r="L134" s="40">
        <f t="shared" si="33"/>
        <v>0</v>
      </c>
      <c r="M134" s="41">
        <f t="shared" si="33"/>
        <v>0</v>
      </c>
      <c r="N134" s="40">
        <f t="shared" si="33"/>
        <v>0</v>
      </c>
      <c r="O134" s="40">
        <f t="shared" si="33"/>
        <v>0</v>
      </c>
      <c r="P134" s="40">
        <f t="shared" si="33"/>
        <v>0</v>
      </c>
      <c r="Q134" s="40">
        <f t="shared" si="33"/>
        <v>0</v>
      </c>
      <c r="R134" s="40">
        <f t="shared" si="33"/>
        <v>0</v>
      </c>
      <c r="S134" s="41">
        <f t="shared" si="33"/>
        <v>0</v>
      </c>
      <c r="T134" s="40">
        <f t="shared" si="33"/>
        <v>0</v>
      </c>
      <c r="U134" s="40">
        <f t="shared" si="33"/>
        <v>0</v>
      </c>
      <c r="V134" s="40">
        <f t="shared" si="33"/>
        <v>0</v>
      </c>
      <c r="W134" s="41">
        <f t="shared" si="33"/>
        <v>0</v>
      </c>
      <c r="X134" s="40">
        <f t="shared" si="33"/>
        <v>0</v>
      </c>
      <c r="Y134" s="41">
        <f t="shared" si="33"/>
        <v>0</v>
      </c>
      <c r="Z134" s="42">
        <f t="shared" si="33"/>
        <v>0</v>
      </c>
      <c r="AA134" s="43">
        <f>SUM(E134:Z134)</f>
        <v>22</v>
      </c>
      <c r="AB134" s="134">
        <f t="shared" si="33"/>
        <v>95</v>
      </c>
      <c r="AC134" s="134">
        <f t="shared" si="33"/>
        <v>8</v>
      </c>
      <c r="AD134" s="135">
        <f t="shared" si="33"/>
        <v>6</v>
      </c>
      <c r="AE134" s="135">
        <f t="shared" si="33"/>
        <v>6</v>
      </c>
      <c r="AF134" s="135">
        <f t="shared" si="33"/>
        <v>4</v>
      </c>
      <c r="AG134" s="136">
        <f t="shared" si="33"/>
        <v>7</v>
      </c>
    </row>
    <row r="135" spans="1:34" ht="15.75" thickBot="1" x14ac:dyDescent="0.3">
      <c r="A135" s="207" t="s">
        <v>237</v>
      </c>
      <c r="B135" s="208"/>
      <c r="C135" s="208"/>
      <c r="D135" s="208"/>
      <c r="E135" s="137">
        <f t="shared" ref="E135:J135" si="34">E134*E5</f>
        <v>0</v>
      </c>
      <c r="F135" s="137">
        <f t="shared" si="34"/>
        <v>186034970.86561799</v>
      </c>
      <c r="G135" s="137">
        <f t="shared" si="34"/>
        <v>8858808.1364580002</v>
      </c>
      <c r="H135" s="137">
        <f t="shared" si="34"/>
        <v>0</v>
      </c>
      <c r="I135" s="138">
        <f t="shared" si="34"/>
        <v>0</v>
      </c>
      <c r="J135" s="138">
        <f t="shared" si="34"/>
        <v>0</v>
      </c>
      <c r="K135" s="138"/>
      <c r="L135" s="137">
        <f>L134*L5</f>
        <v>0</v>
      </c>
      <c r="M135" s="138">
        <f>M134*M5</f>
        <v>0</v>
      </c>
      <c r="N135" s="137">
        <f t="shared" ref="N135:Z135" si="35">N134*N5</f>
        <v>0</v>
      </c>
      <c r="O135" s="137">
        <f t="shared" si="35"/>
        <v>0</v>
      </c>
      <c r="P135" s="137">
        <f t="shared" si="35"/>
        <v>0</v>
      </c>
      <c r="Q135" s="137">
        <f t="shared" si="35"/>
        <v>0</v>
      </c>
      <c r="R135" s="137">
        <f t="shared" si="35"/>
        <v>0</v>
      </c>
      <c r="S135" s="138">
        <f t="shared" si="35"/>
        <v>0</v>
      </c>
      <c r="T135" s="137">
        <f t="shared" si="35"/>
        <v>0</v>
      </c>
      <c r="U135" s="137">
        <f t="shared" si="35"/>
        <v>0</v>
      </c>
      <c r="V135" s="137">
        <f t="shared" si="35"/>
        <v>0</v>
      </c>
      <c r="W135" s="138">
        <f t="shared" si="35"/>
        <v>0</v>
      </c>
      <c r="X135" s="137">
        <f t="shared" si="35"/>
        <v>0</v>
      </c>
      <c r="Y135" s="138">
        <f t="shared" si="35"/>
        <v>0</v>
      </c>
      <c r="Z135" s="139">
        <f t="shared" si="35"/>
        <v>0</v>
      </c>
      <c r="AA135" s="57">
        <f>SUM(E135:Z135)</f>
        <v>194893779.002076</v>
      </c>
      <c r="AB135" s="140">
        <f t="shared" ref="AB135:AG135" si="36">AB134*AB5</f>
        <v>1339157.6411111113</v>
      </c>
      <c r="AC135" s="140">
        <f t="shared" si="36"/>
        <v>438338.66844444443</v>
      </c>
      <c r="AD135" s="141">
        <f t="shared" si="36"/>
        <v>421144.80800000002</v>
      </c>
      <c r="AE135" s="141">
        <f t="shared" si="36"/>
        <v>305799.85333333327</v>
      </c>
      <c r="AF135" s="141">
        <f t="shared" si="36"/>
        <v>642870.15644444444</v>
      </c>
      <c r="AG135" s="142">
        <f t="shared" si="36"/>
        <v>378579.61866666668</v>
      </c>
    </row>
    <row r="136" spans="1:34" ht="17.25" thickBot="1" x14ac:dyDescent="0.3">
      <c r="A136" s="219" t="s">
        <v>238</v>
      </c>
      <c r="B136" s="220"/>
      <c r="C136" s="220"/>
      <c r="D136" s="220"/>
      <c r="E136" s="143">
        <f t="shared" ref="E136:Z136" si="37">+E33+E48+E70+E80+E96+E112+E123+E134</f>
        <v>8</v>
      </c>
      <c r="F136" s="143">
        <f t="shared" si="37"/>
        <v>233</v>
      </c>
      <c r="G136" s="143">
        <f t="shared" si="37"/>
        <v>12</v>
      </c>
      <c r="H136" s="143">
        <f t="shared" si="37"/>
        <v>2</v>
      </c>
      <c r="I136" s="144">
        <f t="shared" si="37"/>
        <v>0</v>
      </c>
      <c r="J136" s="144">
        <f t="shared" si="37"/>
        <v>0</v>
      </c>
      <c r="K136" s="144">
        <f t="shared" si="37"/>
        <v>0</v>
      </c>
      <c r="L136" s="143">
        <f t="shared" si="37"/>
        <v>5</v>
      </c>
      <c r="M136" s="144">
        <f t="shared" si="37"/>
        <v>0</v>
      </c>
      <c r="N136" s="143">
        <f t="shared" si="37"/>
        <v>11</v>
      </c>
      <c r="O136" s="143">
        <f t="shared" si="37"/>
        <v>4</v>
      </c>
      <c r="P136" s="143">
        <f t="shared" si="37"/>
        <v>3</v>
      </c>
      <c r="Q136" s="143">
        <f t="shared" si="37"/>
        <v>7</v>
      </c>
      <c r="R136" s="143">
        <f t="shared" si="37"/>
        <v>3</v>
      </c>
      <c r="S136" s="144">
        <f t="shared" si="37"/>
        <v>0</v>
      </c>
      <c r="T136" s="143">
        <f t="shared" si="37"/>
        <v>4</v>
      </c>
      <c r="U136" s="143">
        <f t="shared" si="37"/>
        <v>1</v>
      </c>
      <c r="V136" s="143">
        <f t="shared" si="37"/>
        <v>1</v>
      </c>
      <c r="W136" s="144">
        <f t="shared" si="37"/>
        <v>0</v>
      </c>
      <c r="X136" s="143">
        <f t="shared" si="37"/>
        <v>1</v>
      </c>
      <c r="Y136" s="144">
        <f t="shared" si="37"/>
        <v>0</v>
      </c>
      <c r="Z136" s="145">
        <f t="shared" si="37"/>
        <v>0</v>
      </c>
      <c r="AA136" s="146"/>
      <c r="AB136" s="143">
        <f t="shared" ref="AB136:AG136" si="38">+AB33+AB48+AB70+AB80+AB96+AB112+AB123+AB134</f>
        <v>1222</v>
      </c>
      <c r="AC136" s="143">
        <f t="shared" si="38"/>
        <v>109</v>
      </c>
      <c r="AD136" s="143">
        <f t="shared" si="38"/>
        <v>90</v>
      </c>
      <c r="AE136" s="143">
        <f t="shared" si="38"/>
        <v>86</v>
      </c>
      <c r="AF136" s="143">
        <f t="shared" si="38"/>
        <v>41</v>
      </c>
      <c r="AG136" s="147">
        <f t="shared" si="38"/>
        <v>127</v>
      </c>
    </row>
    <row r="137" spans="1:34" s="75" customFormat="1" ht="15.75" thickBot="1" x14ac:dyDescent="0.3">
      <c r="A137" s="221" t="s">
        <v>239</v>
      </c>
      <c r="B137" s="222"/>
      <c r="C137" s="222"/>
      <c r="D137" s="222"/>
      <c r="E137" s="148">
        <f t="shared" ref="E137:Z137" si="39">+E136*(E2+E3)</f>
        <v>70836978.519999996</v>
      </c>
      <c r="F137" s="148">
        <f t="shared" si="39"/>
        <v>2025615599.4059999</v>
      </c>
      <c r="G137" s="148">
        <f t="shared" si="39"/>
        <v>104323550.184</v>
      </c>
      <c r="H137" s="148">
        <f t="shared" si="39"/>
        <v>17870237.763</v>
      </c>
      <c r="I137" s="148">
        <f t="shared" si="39"/>
        <v>0</v>
      </c>
      <c r="J137" s="148">
        <f t="shared" si="39"/>
        <v>0</v>
      </c>
      <c r="K137" s="148">
        <f t="shared" si="39"/>
        <v>0</v>
      </c>
      <c r="L137" s="148">
        <f t="shared" si="39"/>
        <v>26899669.348959282</v>
      </c>
      <c r="M137" s="148">
        <f t="shared" si="39"/>
        <v>0</v>
      </c>
      <c r="N137" s="148">
        <f t="shared" si="39"/>
        <v>50725090.772323206</v>
      </c>
      <c r="O137" s="148">
        <f t="shared" si="39"/>
        <v>15276177.702327879</v>
      </c>
      <c r="P137" s="148">
        <f t="shared" si="39"/>
        <v>8183666.6262470763</v>
      </c>
      <c r="Q137" s="148">
        <f t="shared" si="39"/>
        <v>22914266.553491816</v>
      </c>
      <c r="R137" s="148">
        <f t="shared" si="39"/>
        <v>14623754.269254092</v>
      </c>
      <c r="S137" s="148">
        <f t="shared" si="39"/>
        <v>0</v>
      </c>
      <c r="T137" s="148">
        <f t="shared" si="39"/>
        <v>19859419.377999388</v>
      </c>
      <c r="U137" s="148">
        <f t="shared" si="39"/>
        <v>3375060.0402120003</v>
      </c>
      <c r="V137" s="148">
        <f t="shared" si="39"/>
        <v>3313695.3122081454</v>
      </c>
      <c r="W137" s="148">
        <f t="shared" si="39"/>
        <v>0</v>
      </c>
      <c r="X137" s="148">
        <f t="shared" si="39"/>
        <v>2182311.100332554</v>
      </c>
      <c r="Y137" s="148">
        <f t="shared" si="39"/>
        <v>0</v>
      </c>
      <c r="Z137" s="148">
        <f t="shared" si="39"/>
        <v>0</v>
      </c>
      <c r="AA137" s="149"/>
      <c r="AB137" s="148">
        <f t="shared" ref="AB137:AG137" si="40">+AB136*(AB2+AB3)</f>
        <v>14475458.977777779</v>
      </c>
      <c r="AC137" s="148">
        <f t="shared" si="40"/>
        <v>5018793.5777777778</v>
      </c>
      <c r="AD137" s="148">
        <f t="shared" si="40"/>
        <v>5308548</v>
      </c>
      <c r="AE137" s="148">
        <f t="shared" si="40"/>
        <v>3683303.5555555555</v>
      </c>
      <c r="AF137" s="148">
        <f t="shared" si="40"/>
        <v>5537326.9777777772</v>
      </c>
      <c r="AG137" s="148">
        <f t="shared" si="40"/>
        <v>5771862.1333333338</v>
      </c>
      <c r="AH137" s="150"/>
    </row>
    <row r="138" spans="1:34" s="75" customFormat="1" ht="15.75" thickBot="1" x14ac:dyDescent="0.3">
      <c r="A138" s="223" t="s">
        <v>240</v>
      </c>
      <c r="B138" s="224"/>
      <c r="C138" s="224"/>
      <c r="D138" s="224"/>
      <c r="E138" s="151">
        <f t="shared" ref="E138:Z138" si="41">+ROUND(((E33+E48+E70+E80+E96+E112+E134)*E4),0)</f>
        <v>1345903</v>
      </c>
      <c r="F138" s="151">
        <f t="shared" si="41"/>
        <v>37660802</v>
      </c>
      <c r="G138" s="151">
        <f t="shared" si="41"/>
        <v>1982147</v>
      </c>
      <c r="H138" s="151">
        <f t="shared" si="41"/>
        <v>339535</v>
      </c>
      <c r="I138" s="151">
        <f t="shared" si="41"/>
        <v>0</v>
      </c>
      <c r="J138" s="151">
        <f t="shared" si="41"/>
        <v>0</v>
      </c>
      <c r="K138" s="151">
        <f t="shared" si="41"/>
        <v>0</v>
      </c>
      <c r="L138" s="151">
        <f t="shared" si="41"/>
        <v>511094</v>
      </c>
      <c r="M138" s="151">
        <f t="shared" si="41"/>
        <v>0</v>
      </c>
      <c r="N138" s="151">
        <f t="shared" si="41"/>
        <v>788545</v>
      </c>
      <c r="O138" s="151">
        <f t="shared" si="41"/>
        <v>290247</v>
      </c>
      <c r="P138" s="151">
        <f t="shared" si="41"/>
        <v>155490</v>
      </c>
      <c r="Q138" s="151">
        <f t="shared" si="41"/>
        <v>435371</v>
      </c>
      <c r="R138" s="151">
        <f t="shared" si="41"/>
        <v>277851</v>
      </c>
      <c r="S138" s="151">
        <f t="shared" si="41"/>
        <v>0</v>
      </c>
      <c r="T138" s="151">
        <f t="shared" si="41"/>
        <v>377329</v>
      </c>
      <c r="U138" s="151">
        <f t="shared" si="41"/>
        <v>64126</v>
      </c>
      <c r="V138" s="151">
        <f t="shared" si="41"/>
        <v>62960</v>
      </c>
      <c r="W138" s="151">
        <f t="shared" si="41"/>
        <v>0</v>
      </c>
      <c r="X138" s="151">
        <f t="shared" si="41"/>
        <v>0</v>
      </c>
      <c r="Y138" s="151">
        <f t="shared" si="41"/>
        <v>0</v>
      </c>
      <c r="Z138" s="151">
        <f t="shared" si="41"/>
        <v>0</v>
      </c>
      <c r="AA138" s="149"/>
      <c r="AB138" s="151">
        <f t="shared" ref="AB138:AG138" si="42">+ROUND(((AB33+AB48+AB70+AB80+AB96+AB112+AB134)*AB4),0)</f>
        <v>2635552</v>
      </c>
      <c r="AC138" s="151">
        <f t="shared" si="42"/>
        <v>883584</v>
      </c>
      <c r="AD138" s="151">
        <f t="shared" si="42"/>
        <v>952589</v>
      </c>
      <c r="AE138" s="151">
        <f t="shared" si="42"/>
        <v>667278</v>
      </c>
      <c r="AF138" s="151">
        <f t="shared" si="42"/>
        <v>1000771</v>
      </c>
      <c r="AG138" s="151">
        <f t="shared" si="42"/>
        <v>1018938</v>
      </c>
      <c r="AH138" s="150"/>
    </row>
    <row r="139" spans="1:34" s="75" customFormat="1" ht="15.75" thickBot="1" x14ac:dyDescent="0.3">
      <c r="A139" s="225" t="s">
        <v>241</v>
      </c>
      <c r="B139" s="226"/>
      <c r="C139" s="226"/>
      <c r="D139" s="226"/>
      <c r="E139" s="152">
        <f>+E137+E138</f>
        <v>72182881.519999996</v>
      </c>
      <c r="F139" s="152">
        <f t="shared" ref="F139:Z139" si="43">+F137+F138</f>
        <v>2063276401.4059999</v>
      </c>
      <c r="G139" s="152">
        <f t="shared" si="43"/>
        <v>106305697.184</v>
      </c>
      <c r="H139" s="152">
        <f t="shared" si="43"/>
        <v>18209772.763</v>
      </c>
      <c r="I139" s="152">
        <f t="shared" si="43"/>
        <v>0</v>
      </c>
      <c r="J139" s="152">
        <f t="shared" si="43"/>
        <v>0</v>
      </c>
      <c r="K139" s="152">
        <f t="shared" si="43"/>
        <v>0</v>
      </c>
      <c r="L139" s="152">
        <f t="shared" si="43"/>
        <v>27410763.348959282</v>
      </c>
      <c r="M139" s="152">
        <f t="shared" si="43"/>
        <v>0</v>
      </c>
      <c r="N139" s="152">
        <f t="shared" si="43"/>
        <v>51513635.772323206</v>
      </c>
      <c r="O139" s="152">
        <f t="shared" si="43"/>
        <v>15566424.702327879</v>
      </c>
      <c r="P139" s="152">
        <f t="shared" si="43"/>
        <v>8339156.6262470763</v>
      </c>
      <c r="Q139" s="152">
        <f t="shared" si="43"/>
        <v>23349637.553491816</v>
      </c>
      <c r="R139" s="152">
        <f t="shared" si="43"/>
        <v>14901605.269254092</v>
      </c>
      <c r="S139" s="152">
        <f t="shared" si="43"/>
        <v>0</v>
      </c>
      <c r="T139" s="152">
        <f t="shared" si="43"/>
        <v>20236748.377999388</v>
      </c>
      <c r="U139" s="152">
        <f t="shared" si="43"/>
        <v>3439186.0402120003</v>
      </c>
      <c r="V139" s="152">
        <f t="shared" si="43"/>
        <v>3376655.3122081454</v>
      </c>
      <c r="W139" s="152">
        <f t="shared" si="43"/>
        <v>0</v>
      </c>
      <c r="X139" s="152">
        <f t="shared" si="43"/>
        <v>2182311.100332554</v>
      </c>
      <c r="Y139" s="152">
        <f t="shared" si="43"/>
        <v>0</v>
      </c>
      <c r="Z139" s="152">
        <f t="shared" si="43"/>
        <v>0</v>
      </c>
      <c r="AA139" s="149">
        <f>SUM(E139:Z139)</f>
        <v>2430290876.9763551</v>
      </c>
      <c r="AB139" s="152">
        <f>+AB137+AB138</f>
        <v>17111010.977777779</v>
      </c>
      <c r="AC139" s="152">
        <f t="shared" ref="AC139:AG139" si="44">+AC137+AC138</f>
        <v>5902377.5777777778</v>
      </c>
      <c r="AD139" s="152">
        <f t="shared" si="44"/>
        <v>6261137</v>
      </c>
      <c r="AE139" s="152">
        <f t="shared" si="44"/>
        <v>4350581.555555556</v>
      </c>
      <c r="AF139" s="152">
        <f t="shared" si="44"/>
        <v>6538097.9777777772</v>
      </c>
      <c r="AG139" s="152">
        <f t="shared" si="44"/>
        <v>6790800.1333333338</v>
      </c>
      <c r="AH139" s="153">
        <f>SUM(AB139:AG139)</f>
        <v>46954005.222222224</v>
      </c>
    </row>
    <row r="140" spans="1:34" s="75" customFormat="1" x14ac:dyDescent="0.25">
      <c r="A140" s="154"/>
      <c r="B140" s="154"/>
      <c r="C140" s="154"/>
      <c r="D140" s="154"/>
      <c r="E140" s="155"/>
      <c r="F140" s="155"/>
      <c r="G140" s="155"/>
      <c r="H140" s="155"/>
      <c r="I140" s="156"/>
      <c r="J140" s="156"/>
      <c r="K140" s="156"/>
      <c r="L140" s="155"/>
      <c r="M140" s="156"/>
      <c r="N140" s="155"/>
      <c r="O140" s="155"/>
      <c r="P140" s="155"/>
      <c r="Q140" s="155"/>
      <c r="R140" s="155"/>
      <c r="S140" s="156"/>
      <c r="T140" s="155"/>
      <c r="U140" s="155"/>
      <c r="V140" s="155"/>
      <c r="W140" s="156"/>
      <c r="X140" s="155"/>
      <c r="Y140" s="156"/>
      <c r="Z140" s="156"/>
      <c r="AA140" s="157"/>
      <c r="AB140" s="155"/>
      <c r="AC140" s="155"/>
      <c r="AD140" s="155"/>
      <c r="AE140" s="155"/>
      <c r="AF140" s="155"/>
      <c r="AG140" s="155"/>
    </row>
    <row r="141" spans="1:34" ht="16.5" thickBot="1" x14ac:dyDescent="0.3">
      <c r="A141" s="227" t="s">
        <v>242</v>
      </c>
      <c r="B141" s="227"/>
      <c r="C141" s="227"/>
      <c r="D141" s="227"/>
      <c r="F141" s="158"/>
      <c r="G141" s="158"/>
      <c r="H141" s="158"/>
      <c r="I141" s="159"/>
      <c r="J141" s="159"/>
      <c r="K141" s="159"/>
      <c r="L141" s="158"/>
      <c r="M141" s="159"/>
      <c r="N141" s="158"/>
      <c r="O141" s="158"/>
      <c r="P141" s="158"/>
      <c r="Q141" s="158"/>
      <c r="R141" s="158"/>
      <c r="S141" s="159"/>
      <c r="T141" s="158"/>
      <c r="U141" s="158"/>
      <c r="V141" s="158"/>
      <c r="W141" s="159"/>
      <c r="X141" s="158"/>
      <c r="AA141" s="161"/>
    </row>
    <row r="142" spans="1:34" ht="108.75" thickBot="1" x14ac:dyDescent="0.3">
      <c r="A142" s="7" t="s">
        <v>5</v>
      </c>
      <c r="B142" s="8" t="s">
        <v>6</v>
      </c>
      <c r="C142" s="7" t="s">
        <v>7</v>
      </c>
      <c r="D142" s="9" t="s">
        <v>8</v>
      </c>
      <c r="E142" s="162" t="s">
        <v>9</v>
      </c>
      <c r="F142" s="13" t="s">
        <v>10</v>
      </c>
      <c r="G142" s="13" t="s">
        <v>11</v>
      </c>
      <c r="H142" s="13" t="s">
        <v>12</v>
      </c>
      <c r="I142" s="13" t="s">
        <v>13</v>
      </c>
      <c r="J142" s="13" t="s">
        <v>14</v>
      </c>
      <c r="K142" s="13" t="s">
        <v>15</v>
      </c>
      <c r="L142" s="13" t="s">
        <v>16</v>
      </c>
      <c r="M142" s="13" t="s">
        <v>17</v>
      </c>
      <c r="N142" s="13" t="s">
        <v>18</v>
      </c>
      <c r="O142" s="13" t="s">
        <v>19</v>
      </c>
      <c r="P142" s="13" t="s">
        <v>20</v>
      </c>
      <c r="Q142" s="13" t="s">
        <v>21</v>
      </c>
      <c r="R142" s="13" t="s">
        <v>22</v>
      </c>
      <c r="S142" s="13" t="s">
        <v>23</v>
      </c>
      <c r="T142" s="163" t="s">
        <v>24</v>
      </c>
      <c r="U142" s="163" t="s">
        <v>25</v>
      </c>
      <c r="V142" s="13" t="s">
        <v>26</v>
      </c>
      <c r="W142" s="13" t="s">
        <v>27</v>
      </c>
      <c r="X142" s="13" t="s">
        <v>28</v>
      </c>
      <c r="Y142" s="13" t="s">
        <v>29</v>
      </c>
      <c r="Z142" s="13" t="s">
        <v>30</v>
      </c>
      <c r="AA142" s="3"/>
      <c r="AB142" s="16" t="s">
        <v>31</v>
      </c>
      <c r="AC142" s="17" t="s">
        <v>32</v>
      </c>
      <c r="AD142" s="18" t="s">
        <v>33</v>
      </c>
      <c r="AE142" s="18" t="s">
        <v>34</v>
      </c>
      <c r="AF142" s="18" t="s">
        <v>35</v>
      </c>
      <c r="AG142" s="19" t="s">
        <v>36</v>
      </c>
    </row>
    <row r="143" spans="1:34" x14ac:dyDescent="0.25">
      <c r="A143" s="28" t="s">
        <v>97</v>
      </c>
      <c r="B143" s="164" t="s">
        <v>101</v>
      </c>
      <c r="C143" s="30" t="s">
        <v>243</v>
      </c>
      <c r="D143" s="30" t="s">
        <v>243</v>
      </c>
      <c r="E143" s="165">
        <v>0</v>
      </c>
      <c r="F143" s="166">
        <v>3</v>
      </c>
      <c r="G143" s="166">
        <v>0</v>
      </c>
      <c r="H143" s="166">
        <v>0</v>
      </c>
      <c r="I143" s="166">
        <v>0</v>
      </c>
      <c r="J143" s="166">
        <v>0</v>
      </c>
      <c r="K143" s="166">
        <v>0</v>
      </c>
      <c r="L143" s="166">
        <v>0</v>
      </c>
      <c r="M143" s="166">
        <v>0</v>
      </c>
      <c r="N143" s="166">
        <v>0</v>
      </c>
      <c r="O143" s="166">
        <v>0</v>
      </c>
      <c r="P143" s="166">
        <v>0</v>
      </c>
      <c r="Q143" s="166">
        <v>0</v>
      </c>
      <c r="R143" s="166">
        <v>0</v>
      </c>
      <c r="S143" s="166">
        <v>0</v>
      </c>
      <c r="T143" s="165">
        <v>0</v>
      </c>
      <c r="U143" s="165">
        <v>0</v>
      </c>
      <c r="V143" s="166">
        <v>0</v>
      </c>
      <c r="W143" s="166">
        <v>0</v>
      </c>
      <c r="X143" s="166">
        <v>0</v>
      </c>
      <c r="Y143" s="166">
        <v>0</v>
      </c>
      <c r="Z143" s="166">
        <v>0</v>
      </c>
      <c r="AA143" s="167"/>
      <c r="AB143" s="166">
        <v>0</v>
      </c>
      <c r="AC143" s="166">
        <v>0</v>
      </c>
      <c r="AD143" s="166">
        <v>0</v>
      </c>
      <c r="AE143" s="166">
        <v>0</v>
      </c>
      <c r="AF143" s="166">
        <v>0</v>
      </c>
      <c r="AG143" s="166">
        <v>0</v>
      </c>
    </row>
    <row r="144" spans="1:34" ht="27" x14ac:dyDescent="0.25">
      <c r="A144" s="28" t="s">
        <v>188</v>
      </c>
      <c r="B144" s="164" t="s">
        <v>193</v>
      </c>
      <c r="C144" s="30" t="s">
        <v>195</v>
      </c>
      <c r="D144" s="30" t="s">
        <v>196</v>
      </c>
      <c r="E144" s="165">
        <v>0</v>
      </c>
      <c r="F144" s="166">
        <v>1</v>
      </c>
      <c r="G144" s="166">
        <v>0</v>
      </c>
      <c r="H144" s="166">
        <v>0</v>
      </c>
      <c r="I144" s="166">
        <v>0</v>
      </c>
      <c r="J144" s="166">
        <v>0</v>
      </c>
      <c r="K144" s="166">
        <v>0</v>
      </c>
      <c r="L144" s="166">
        <v>0</v>
      </c>
      <c r="M144" s="166">
        <v>0</v>
      </c>
      <c r="N144" s="166">
        <v>0</v>
      </c>
      <c r="O144" s="166">
        <v>0</v>
      </c>
      <c r="P144" s="166">
        <v>0</v>
      </c>
      <c r="Q144" s="166">
        <v>0</v>
      </c>
      <c r="R144" s="166">
        <v>0</v>
      </c>
      <c r="S144" s="166">
        <v>0</v>
      </c>
      <c r="T144" s="165">
        <v>0</v>
      </c>
      <c r="U144" s="165">
        <v>0</v>
      </c>
      <c r="V144" s="166">
        <v>0</v>
      </c>
      <c r="W144" s="166">
        <v>0</v>
      </c>
      <c r="X144" s="166">
        <v>0</v>
      </c>
      <c r="Y144" s="166">
        <v>0</v>
      </c>
      <c r="Z144" s="166">
        <v>0</v>
      </c>
      <c r="AA144" s="167"/>
      <c r="AB144" s="166">
        <v>0</v>
      </c>
      <c r="AC144" s="166">
        <v>0</v>
      </c>
      <c r="AD144" s="166">
        <v>0</v>
      </c>
      <c r="AE144" s="166">
        <v>0</v>
      </c>
      <c r="AF144" s="166">
        <v>0</v>
      </c>
      <c r="AG144" s="166">
        <v>0</v>
      </c>
    </row>
    <row r="145" spans="1:34" x14ac:dyDescent="0.25">
      <c r="A145" s="123"/>
      <c r="B145" s="168"/>
      <c r="C145" s="123"/>
      <c r="D145" s="123"/>
      <c r="E145" s="165">
        <v>0</v>
      </c>
      <c r="F145" s="166">
        <v>0</v>
      </c>
      <c r="G145" s="166">
        <v>0</v>
      </c>
      <c r="H145" s="166">
        <v>0</v>
      </c>
      <c r="I145" s="166">
        <v>0</v>
      </c>
      <c r="J145" s="166">
        <v>0</v>
      </c>
      <c r="K145" s="166">
        <v>0</v>
      </c>
      <c r="L145" s="166">
        <v>0</v>
      </c>
      <c r="M145" s="166">
        <v>0</v>
      </c>
      <c r="N145" s="166">
        <v>0</v>
      </c>
      <c r="O145" s="166">
        <v>0</v>
      </c>
      <c r="P145" s="166">
        <v>0</v>
      </c>
      <c r="Q145" s="166">
        <v>0</v>
      </c>
      <c r="R145" s="166">
        <v>0</v>
      </c>
      <c r="S145" s="166">
        <v>0</v>
      </c>
      <c r="T145" s="165">
        <v>0</v>
      </c>
      <c r="U145" s="165">
        <v>0</v>
      </c>
      <c r="V145" s="166">
        <v>0</v>
      </c>
      <c r="W145" s="166">
        <v>0</v>
      </c>
      <c r="X145" s="166">
        <v>0</v>
      </c>
      <c r="Y145" s="166">
        <v>0</v>
      </c>
      <c r="Z145" s="166">
        <v>0</v>
      </c>
      <c r="AA145" s="167"/>
      <c r="AB145" s="166">
        <v>0</v>
      </c>
      <c r="AC145" s="166">
        <v>0</v>
      </c>
      <c r="AD145" s="166">
        <v>0</v>
      </c>
      <c r="AE145" s="166">
        <v>0</v>
      </c>
      <c r="AF145" s="166">
        <v>0</v>
      </c>
      <c r="AG145" s="166">
        <v>0</v>
      </c>
    </row>
    <row r="146" spans="1:34" x14ac:dyDescent="0.25">
      <c r="A146" s="123"/>
      <c r="B146" s="168"/>
      <c r="C146" s="123"/>
      <c r="D146" s="123"/>
      <c r="E146" s="165">
        <v>0</v>
      </c>
      <c r="F146" s="166">
        <v>0</v>
      </c>
      <c r="G146" s="166">
        <v>0</v>
      </c>
      <c r="H146" s="166">
        <v>0</v>
      </c>
      <c r="I146" s="166">
        <v>0</v>
      </c>
      <c r="J146" s="166">
        <v>0</v>
      </c>
      <c r="K146" s="166">
        <v>0</v>
      </c>
      <c r="L146" s="166">
        <v>0</v>
      </c>
      <c r="M146" s="166">
        <v>0</v>
      </c>
      <c r="N146" s="166">
        <v>0</v>
      </c>
      <c r="O146" s="166">
        <v>0</v>
      </c>
      <c r="P146" s="166">
        <v>0</v>
      </c>
      <c r="Q146" s="166">
        <v>0</v>
      </c>
      <c r="R146" s="166">
        <v>0</v>
      </c>
      <c r="S146" s="166">
        <v>0</v>
      </c>
      <c r="T146" s="165">
        <v>0</v>
      </c>
      <c r="U146" s="165">
        <v>0</v>
      </c>
      <c r="V146" s="166">
        <v>0</v>
      </c>
      <c r="W146" s="166">
        <v>0</v>
      </c>
      <c r="X146" s="166">
        <v>0</v>
      </c>
      <c r="Y146" s="166">
        <v>0</v>
      </c>
      <c r="Z146" s="166">
        <v>0</v>
      </c>
      <c r="AA146" s="167"/>
      <c r="AB146" s="166">
        <v>0</v>
      </c>
      <c r="AC146" s="166">
        <v>0</v>
      </c>
      <c r="AD146" s="166">
        <v>0</v>
      </c>
      <c r="AE146" s="166">
        <v>0</v>
      </c>
      <c r="AF146" s="166">
        <v>0</v>
      </c>
      <c r="AG146" s="166">
        <v>0</v>
      </c>
    </row>
    <row r="147" spans="1:34" x14ac:dyDescent="0.25">
      <c r="A147" s="170"/>
      <c r="B147" s="171"/>
      <c r="C147" s="171"/>
      <c r="D147" s="171"/>
      <c r="E147" s="165">
        <v>0</v>
      </c>
      <c r="F147" s="166">
        <v>0</v>
      </c>
      <c r="G147" s="166">
        <v>0</v>
      </c>
      <c r="H147" s="166">
        <v>0</v>
      </c>
      <c r="I147" s="166">
        <v>0</v>
      </c>
      <c r="J147" s="166">
        <v>0</v>
      </c>
      <c r="K147" s="166">
        <v>0</v>
      </c>
      <c r="L147" s="166">
        <v>0</v>
      </c>
      <c r="M147" s="166">
        <v>0</v>
      </c>
      <c r="N147" s="166">
        <v>0</v>
      </c>
      <c r="O147" s="166">
        <v>0</v>
      </c>
      <c r="P147" s="166">
        <v>0</v>
      </c>
      <c r="Q147" s="166">
        <v>0</v>
      </c>
      <c r="R147" s="166">
        <v>0</v>
      </c>
      <c r="S147" s="166">
        <v>0</v>
      </c>
      <c r="T147" s="165">
        <v>0</v>
      </c>
      <c r="U147" s="165">
        <v>0</v>
      </c>
      <c r="V147" s="166">
        <v>0</v>
      </c>
      <c r="W147" s="166">
        <v>0</v>
      </c>
      <c r="X147" s="166">
        <v>0</v>
      </c>
      <c r="Y147" s="166">
        <v>0</v>
      </c>
      <c r="Z147" s="166">
        <v>0</v>
      </c>
      <c r="AA147" s="172"/>
      <c r="AB147" s="166">
        <v>0</v>
      </c>
      <c r="AC147" s="166">
        <v>0</v>
      </c>
      <c r="AD147" s="166">
        <v>0</v>
      </c>
      <c r="AE147" s="166">
        <v>0</v>
      </c>
      <c r="AF147" s="166">
        <v>0</v>
      </c>
      <c r="AG147" s="166">
        <v>0</v>
      </c>
    </row>
    <row r="148" spans="1:34" x14ac:dyDescent="0.25">
      <c r="A148" s="209" t="s">
        <v>244</v>
      </c>
      <c r="B148" s="210"/>
      <c r="C148" s="210"/>
      <c r="D148" s="211"/>
      <c r="E148" s="173">
        <f>+E143+E144+E145+E146+E147</f>
        <v>0</v>
      </c>
      <c r="F148" s="173">
        <f t="shared" ref="F148:X148" si="45">+F143+F144+F145+F146+F147</f>
        <v>4</v>
      </c>
      <c r="G148" s="173">
        <f t="shared" si="45"/>
        <v>0</v>
      </c>
      <c r="H148" s="173">
        <f t="shared" si="45"/>
        <v>0</v>
      </c>
      <c r="I148" s="173">
        <f t="shared" si="45"/>
        <v>0</v>
      </c>
      <c r="J148" s="173">
        <f t="shared" si="45"/>
        <v>0</v>
      </c>
      <c r="K148" s="173">
        <f t="shared" si="45"/>
        <v>0</v>
      </c>
      <c r="L148" s="173">
        <f t="shared" si="45"/>
        <v>0</v>
      </c>
      <c r="M148" s="173">
        <f t="shared" si="45"/>
        <v>0</v>
      </c>
      <c r="N148" s="173">
        <f t="shared" si="45"/>
        <v>0</v>
      </c>
      <c r="O148" s="173">
        <f t="shared" si="45"/>
        <v>0</v>
      </c>
      <c r="P148" s="173">
        <f t="shared" si="45"/>
        <v>0</v>
      </c>
      <c r="Q148" s="173">
        <f t="shared" si="45"/>
        <v>0</v>
      </c>
      <c r="R148" s="173">
        <f t="shared" si="45"/>
        <v>0</v>
      </c>
      <c r="S148" s="173">
        <f t="shared" si="45"/>
        <v>0</v>
      </c>
      <c r="T148" s="173">
        <f t="shared" si="45"/>
        <v>0</v>
      </c>
      <c r="U148" s="173">
        <f t="shared" si="45"/>
        <v>0</v>
      </c>
      <c r="V148" s="173">
        <f t="shared" si="45"/>
        <v>0</v>
      </c>
      <c r="W148" s="173">
        <f t="shared" si="45"/>
        <v>0</v>
      </c>
      <c r="X148" s="173">
        <f t="shared" si="45"/>
        <v>0</v>
      </c>
      <c r="Y148" s="173">
        <f t="shared" ref="Y148" si="46">SUM(Y141:Y147)</f>
        <v>0</v>
      </c>
      <c r="Z148" s="173">
        <f t="shared" ref="Z148" si="47">SUM(Z141:Z147)</f>
        <v>0</v>
      </c>
      <c r="AA148" s="174">
        <f>SUM(E148:Z148)</f>
        <v>4</v>
      </c>
      <c r="AB148" s="173">
        <f>+AB143+AB144+AB145+AB146+AB147</f>
        <v>0</v>
      </c>
      <c r="AC148" s="173">
        <f>+AC143+AC144+AC145+AC146+AC147</f>
        <v>0</v>
      </c>
      <c r="AD148" s="173">
        <f t="shared" ref="AD148:AG148" si="48">+AD143+AD144+AD145+AD146+AD147</f>
        <v>0</v>
      </c>
      <c r="AE148" s="173">
        <f t="shared" si="48"/>
        <v>0</v>
      </c>
      <c r="AF148" s="173">
        <f>+AF143+AF144+AF145+AF146+AF147</f>
        <v>0</v>
      </c>
      <c r="AG148" s="173">
        <f t="shared" si="48"/>
        <v>0</v>
      </c>
    </row>
    <row r="149" spans="1:34" x14ac:dyDescent="0.25">
      <c r="A149" s="209" t="s">
        <v>245</v>
      </c>
      <c r="B149" s="210"/>
      <c r="C149" s="210"/>
      <c r="D149" s="211"/>
      <c r="E149" s="175">
        <f t="shared" ref="E149:X149" si="49">E148*E5</f>
        <v>0</v>
      </c>
      <c r="F149" s="175">
        <f t="shared" si="49"/>
        <v>35435232.545832001</v>
      </c>
      <c r="G149" s="175">
        <f t="shared" si="49"/>
        <v>0</v>
      </c>
      <c r="H149" s="175">
        <f t="shared" si="49"/>
        <v>0</v>
      </c>
      <c r="I149" s="175">
        <f t="shared" si="49"/>
        <v>0</v>
      </c>
      <c r="J149" s="175">
        <f t="shared" si="49"/>
        <v>0</v>
      </c>
      <c r="K149" s="175">
        <f t="shared" si="49"/>
        <v>0</v>
      </c>
      <c r="L149" s="175">
        <f t="shared" si="49"/>
        <v>0</v>
      </c>
      <c r="M149" s="175">
        <f t="shared" si="49"/>
        <v>0</v>
      </c>
      <c r="N149" s="175">
        <f t="shared" si="49"/>
        <v>0</v>
      </c>
      <c r="O149" s="175">
        <f t="shared" si="49"/>
        <v>0</v>
      </c>
      <c r="P149" s="175">
        <f t="shared" si="49"/>
        <v>0</v>
      </c>
      <c r="Q149" s="175">
        <f t="shared" si="49"/>
        <v>0</v>
      </c>
      <c r="R149" s="175">
        <f t="shared" si="49"/>
        <v>0</v>
      </c>
      <c r="S149" s="175">
        <f t="shared" si="49"/>
        <v>0</v>
      </c>
      <c r="T149" s="175">
        <f t="shared" si="49"/>
        <v>0</v>
      </c>
      <c r="U149" s="175">
        <f t="shared" si="49"/>
        <v>0</v>
      </c>
      <c r="V149" s="175">
        <f t="shared" si="49"/>
        <v>0</v>
      </c>
      <c r="W149" s="175">
        <f t="shared" si="49"/>
        <v>0</v>
      </c>
      <c r="X149" s="175">
        <f t="shared" si="49"/>
        <v>0</v>
      </c>
      <c r="Y149" s="175">
        <f>Y148*Y17</f>
        <v>0</v>
      </c>
      <c r="Z149" s="175">
        <f>Z148*Z17</f>
        <v>0</v>
      </c>
      <c r="AA149" s="176">
        <f>SUM(E149:Z149)</f>
        <v>35435232.545832001</v>
      </c>
      <c r="AB149" s="175">
        <f t="shared" ref="AB149:AG149" si="50">AB148*AB5</f>
        <v>0</v>
      </c>
      <c r="AC149" s="175">
        <f t="shared" si="50"/>
        <v>0</v>
      </c>
      <c r="AD149" s="175">
        <f t="shared" si="50"/>
        <v>0</v>
      </c>
      <c r="AE149" s="175">
        <f t="shared" si="50"/>
        <v>0</v>
      </c>
      <c r="AF149" s="175">
        <f t="shared" si="50"/>
        <v>0</v>
      </c>
      <c r="AG149" s="175">
        <f t="shared" si="50"/>
        <v>0</v>
      </c>
    </row>
    <row r="150" spans="1:34" ht="15.75" thickBot="1" x14ac:dyDescent="0.3">
      <c r="A150" s="212" t="s">
        <v>238</v>
      </c>
      <c r="B150" s="213"/>
      <c r="C150" s="213"/>
      <c r="D150" s="214"/>
      <c r="E150" s="177">
        <f t="shared" ref="E150:X150" si="51">+E136+E148</f>
        <v>8</v>
      </c>
      <c r="F150" s="177">
        <f t="shared" si="51"/>
        <v>237</v>
      </c>
      <c r="G150" s="177">
        <f t="shared" si="51"/>
        <v>12</v>
      </c>
      <c r="H150" s="177">
        <f t="shared" si="51"/>
        <v>2</v>
      </c>
      <c r="I150" s="177">
        <f t="shared" si="51"/>
        <v>0</v>
      </c>
      <c r="J150" s="177">
        <f t="shared" si="51"/>
        <v>0</v>
      </c>
      <c r="K150" s="177">
        <f t="shared" si="51"/>
        <v>0</v>
      </c>
      <c r="L150" s="177">
        <f t="shared" si="51"/>
        <v>5</v>
      </c>
      <c r="M150" s="177">
        <f t="shared" si="51"/>
        <v>0</v>
      </c>
      <c r="N150" s="177">
        <f t="shared" si="51"/>
        <v>11</v>
      </c>
      <c r="O150" s="177">
        <f t="shared" si="51"/>
        <v>4</v>
      </c>
      <c r="P150" s="177">
        <f t="shared" si="51"/>
        <v>3</v>
      </c>
      <c r="Q150" s="177">
        <f t="shared" si="51"/>
        <v>7</v>
      </c>
      <c r="R150" s="177">
        <f t="shared" si="51"/>
        <v>3</v>
      </c>
      <c r="S150" s="177">
        <f t="shared" si="51"/>
        <v>0</v>
      </c>
      <c r="T150" s="177">
        <f t="shared" si="51"/>
        <v>4</v>
      </c>
      <c r="U150" s="177">
        <f t="shared" si="51"/>
        <v>1</v>
      </c>
      <c r="V150" s="177">
        <f t="shared" si="51"/>
        <v>1</v>
      </c>
      <c r="W150" s="177">
        <f t="shared" si="51"/>
        <v>0</v>
      </c>
      <c r="X150" s="177">
        <f t="shared" si="51"/>
        <v>1</v>
      </c>
      <c r="Y150" s="177">
        <f>+Y45+Y60+Y82+Y92+Y108+Y124+Y135+Y148</f>
        <v>0</v>
      </c>
      <c r="Z150" s="177">
        <f>+Z45+Z60+Z82+Z92+Z108+Z124+Z135+Z148</f>
        <v>0</v>
      </c>
      <c r="AA150" s="178">
        <f>SUM(E150:Z150)</f>
        <v>299</v>
      </c>
      <c r="AB150" s="177">
        <f t="shared" ref="AB150:AG150" si="52">+AB136+AB148</f>
        <v>1222</v>
      </c>
      <c r="AC150" s="177">
        <f t="shared" si="52"/>
        <v>109</v>
      </c>
      <c r="AD150" s="177">
        <f t="shared" si="52"/>
        <v>90</v>
      </c>
      <c r="AE150" s="177">
        <f t="shared" si="52"/>
        <v>86</v>
      </c>
      <c r="AF150" s="177">
        <f t="shared" si="52"/>
        <v>41</v>
      </c>
      <c r="AG150" s="177">
        <f t="shared" si="52"/>
        <v>127</v>
      </c>
      <c r="AH150" s="179">
        <f>SUM(AB150:AG150)</f>
        <v>1675</v>
      </c>
    </row>
    <row r="151" spans="1:34" ht="15.75" thickBot="1" x14ac:dyDescent="0.3">
      <c r="A151" s="215" t="s">
        <v>246</v>
      </c>
      <c r="B151" s="216"/>
      <c r="C151" s="216"/>
      <c r="D151" s="217"/>
      <c r="E151" s="180">
        <f>+E139+E149</f>
        <v>72182881.519999996</v>
      </c>
      <c r="F151" s="180">
        <f t="shared" ref="F151:AG151" si="53">+F139+F149</f>
        <v>2098711633.9518318</v>
      </c>
      <c r="G151" s="180">
        <f t="shared" si="53"/>
        <v>106305697.184</v>
      </c>
      <c r="H151" s="180">
        <f t="shared" si="53"/>
        <v>18209772.763</v>
      </c>
      <c r="I151" s="180">
        <f t="shared" si="53"/>
        <v>0</v>
      </c>
      <c r="J151" s="180">
        <f t="shared" si="53"/>
        <v>0</v>
      </c>
      <c r="K151" s="180">
        <f t="shared" si="53"/>
        <v>0</v>
      </c>
      <c r="L151" s="180">
        <f t="shared" si="53"/>
        <v>27410763.348959282</v>
      </c>
      <c r="M151" s="180">
        <f t="shared" si="53"/>
        <v>0</v>
      </c>
      <c r="N151" s="180">
        <f t="shared" si="53"/>
        <v>51513635.772323206</v>
      </c>
      <c r="O151" s="180">
        <f t="shared" si="53"/>
        <v>15566424.702327879</v>
      </c>
      <c r="P151" s="180">
        <f t="shared" si="53"/>
        <v>8339156.6262470763</v>
      </c>
      <c r="Q151" s="180">
        <f t="shared" si="53"/>
        <v>23349637.553491816</v>
      </c>
      <c r="R151" s="180">
        <f t="shared" si="53"/>
        <v>14901605.269254092</v>
      </c>
      <c r="S151" s="180">
        <f t="shared" si="53"/>
        <v>0</v>
      </c>
      <c r="T151" s="180">
        <f t="shared" si="53"/>
        <v>20236748.377999388</v>
      </c>
      <c r="U151" s="180">
        <f t="shared" si="53"/>
        <v>3439186.0402120003</v>
      </c>
      <c r="V151" s="180">
        <f t="shared" si="53"/>
        <v>3376655.3122081454</v>
      </c>
      <c r="W151" s="180">
        <f t="shared" si="53"/>
        <v>0</v>
      </c>
      <c r="X151" s="180">
        <f t="shared" si="53"/>
        <v>2182311.100332554</v>
      </c>
      <c r="Y151" s="180">
        <f t="shared" si="53"/>
        <v>0</v>
      </c>
      <c r="Z151" s="180">
        <f t="shared" si="53"/>
        <v>0</v>
      </c>
      <c r="AA151" s="153">
        <f>SUM(E151:Z151)</f>
        <v>2465726109.5221872</v>
      </c>
      <c r="AB151" s="180">
        <f t="shared" si="53"/>
        <v>17111010.977777779</v>
      </c>
      <c r="AC151" s="180">
        <f t="shared" si="53"/>
        <v>5902377.5777777778</v>
      </c>
      <c r="AD151" s="180">
        <f t="shared" si="53"/>
        <v>6261137</v>
      </c>
      <c r="AE151" s="180">
        <f t="shared" si="53"/>
        <v>4350581.555555556</v>
      </c>
      <c r="AF151" s="180">
        <f t="shared" si="53"/>
        <v>6538097.9777777772</v>
      </c>
      <c r="AG151" s="180">
        <f t="shared" si="53"/>
        <v>6790800.1333333338</v>
      </c>
      <c r="AH151" s="153">
        <f>SUM(AB151:AG151)</f>
        <v>46954005.222222224</v>
      </c>
    </row>
    <row r="152" spans="1:34" x14ac:dyDescent="0.25">
      <c r="C152" s="181"/>
    </row>
    <row r="153" spans="1:34" ht="15.75" x14ac:dyDescent="0.25">
      <c r="A153" s="218" t="s">
        <v>247</v>
      </c>
      <c r="B153" s="218"/>
      <c r="C153" s="218"/>
    </row>
    <row r="154" spans="1:34" x14ac:dyDescent="0.25">
      <c r="C154" s="181"/>
    </row>
    <row r="155" spans="1:34" ht="47.25" x14ac:dyDescent="0.25">
      <c r="B155" s="182" t="s">
        <v>250</v>
      </c>
      <c r="C155" s="182" t="s">
        <v>249</v>
      </c>
    </row>
    <row r="156" spans="1:34" ht="15.75" x14ac:dyDescent="0.25">
      <c r="B156" s="183">
        <f>+AA151</f>
        <v>2465726109.5221872</v>
      </c>
      <c r="C156" s="183">
        <f>+AH151</f>
        <v>46954005.222222224</v>
      </c>
    </row>
  </sheetData>
  <mergeCells count="34">
    <mergeCell ref="A149:D149"/>
    <mergeCell ref="A150:D150"/>
    <mergeCell ref="A151:D151"/>
    <mergeCell ref="A153:C153"/>
    <mergeCell ref="A136:D136"/>
    <mergeCell ref="A137:D137"/>
    <mergeCell ref="A138:D138"/>
    <mergeCell ref="A139:D139"/>
    <mergeCell ref="A141:D141"/>
    <mergeCell ref="A148:D148"/>
    <mergeCell ref="A135:D135"/>
    <mergeCell ref="A83:D83"/>
    <mergeCell ref="A96:D96"/>
    <mergeCell ref="B98:C98"/>
    <mergeCell ref="A99:D99"/>
    <mergeCell ref="A112:D112"/>
    <mergeCell ref="B114:C114"/>
    <mergeCell ref="A115:D115"/>
    <mergeCell ref="A123:D123"/>
    <mergeCell ref="B125:C125"/>
    <mergeCell ref="A126:D126"/>
    <mergeCell ref="A134:D134"/>
    <mergeCell ref="B82:C82"/>
    <mergeCell ref="A2:C5"/>
    <mergeCell ref="A33:D33"/>
    <mergeCell ref="B35:C35"/>
    <mergeCell ref="A36:D36"/>
    <mergeCell ref="A48:D48"/>
    <mergeCell ref="B50:C50"/>
    <mergeCell ref="A51:D51"/>
    <mergeCell ref="A70:D70"/>
    <mergeCell ref="B72:C72"/>
    <mergeCell ref="A73:D73"/>
    <mergeCell ref="A80:D80"/>
  </mergeCells>
  <conditionalFormatting sqref="AB152:AG1048576">
    <cfRule type="cellIs" dxfId="2" priority="1" operator="greaterThan">
      <formula>0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C306A-3468-4982-872F-361CE53F2E09}">
  <sheetPr>
    <tabColor rgb="FFFFFF00"/>
  </sheetPr>
  <dimension ref="A1:AH156"/>
  <sheetViews>
    <sheetView topLeftCell="P142" zoomScale="80" zoomScaleNormal="80" workbookViewId="0">
      <selection activeCell="AB126" sqref="AB126:AG126"/>
    </sheetView>
  </sheetViews>
  <sheetFormatPr baseColWidth="10" defaultColWidth="11.42578125" defaultRowHeight="15" x14ac:dyDescent="0.25"/>
  <cols>
    <col min="1" max="1" width="21.140625" customWidth="1"/>
    <col min="2" max="2" width="31.42578125" customWidth="1"/>
    <col min="3" max="3" width="22.28515625" customWidth="1"/>
    <col min="4" max="4" width="17.7109375" customWidth="1"/>
    <col min="5" max="7" width="16.42578125" customWidth="1"/>
    <col min="8" max="8" width="19.28515625" bestFit="1" customWidth="1"/>
    <col min="9" max="9" width="18.5703125" style="160" customWidth="1"/>
    <col min="10" max="10" width="14.28515625" style="160" customWidth="1"/>
    <col min="11" max="11" width="16.42578125" style="160" customWidth="1"/>
    <col min="12" max="12" width="16.42578125" customWidth="1"/>
    <col min="13" max="13" width="15.85546875" style="160" customWidth="1"/>
    <col min="14" max="17" width="16.42578125" customWidth="1"/>
    <col min="18" max="18" width="18.42578125" customWidth="1"/>
    <col min="19" max="19" width="16.85546875" style="160" customWidth="1"/>
    <col min="20" max="22" width="16.42578125" customWidth="1"/>
    <col min="23" max="23" width="16.42578125" style="160" hidden="1" customWidth="1"/>
    <col min="24" max="24" width="17.42578125" customWidth="1"/>
    <col min="25" max="25" width="12" style="160" customWidth="1"/>
    <col min="26" max="26" width="12.28515625" style="160" customWidth="1"/>
    <col min="27" max="27" width="19.42578125" customWidth="1"/>
    <col min="28" max="30" width="15.28515625" bestFit="1" customWidth="1"/>
    <col min="31" max="31" width="13.85546875" bestFit="1" customWidth="1"/>
    <col min="32" max="32" width="12.42578125" bestFit="1" customWidth="1"/>
    <col min="33" max="33" width="12.7109375" bestFit="1" customWidth="1"/>
    <col min="34" max="34" width="13.85546875" bestFit="1" customWidth="1"/>
  </cols>
  <sheetData>
    <row r="1" spans="1:33" ht="15.75" thickBot="1" x14ac:dyDescent="0.3">
      <c r="E1" s="191"/>
      <c r="F1" s="192"/>
      <c r="G1" s="191"/>
      <c r="H1" s="192">
        <v>1750905</v>
      </c>
      <c r="I1" s="192">
        <v>10.210000000000001</v>
      </c>
      <c r="J1" s="192">
        <v>2850</v>
      </c>
      <c r="K1" s="192"/>
      <c r="L1" s="192"/>
      <c r="M1" s="192"/>
      <c r="N1" s="192"/>
      <c r="O1" s="192"/>
      <c r="P1" s="193"/>
      <c r="Q1" s="193"/>
      <c r="R1" s="192"/>
      <c r="S1" s="192"/>
      <c r="T1" s="194"/>
      <c r="U1" s="192"/>
      <c r="V1" s="192"/>
      <c r="W1" s="192"/>
      <c r="X1" s="192"/>
      <c r="Y1" s="192"/>
      <c r="Z1" s="192"/>
    </row>
    <row r="2" spans="1:33" x14ac:dyDescent="0.25">
      <c r="A2" s="200" t="s">
        <v>0</v>
      </c>
      <c r="B2" s="200"/>
      <c r="C2" s="200"/>
      <c r="D2" s="1" t="s">
        <v>1</v>
      </c>
      <c r="E2" s="197">
        <f>(($H$1*$I$1)+$J$1)/30*16</f>
        <v>9535781.3600000013</v>
      </c>
      <c r="F2" s="197">
        <f>(($H$1*$I$1)+$J$1)/30*16</f>
        <v>9535781.3600000013</v>
      </c>
      <c r="G2" s="197">
        <f>(($H$1*$I$1)+$J$1)/30*16</f>
        <v>9535781.3600000013</v>
      </c>
      <c r="H2" s="197">
        <f>(($H$1*$I$1)+$J$1)/30*16</f>
        <v>9535781.3600000013</v>
      </c>
      <c r="I2" s="197">
        <f>(($H$1*$I$1)+$J$1)/30*20/20*10</f>
        <v>5959863.3500000006</v>
      </c>
      <c r="J2" s="197">
        <f>(($H$1*$I$1)+$J$1)/30*24/24*12</f>
        <v>7151836.0200000014</v>
      </c>
      <c r="K2" s="197">
        <f>(((($H$1*$I$1)+$J$1)*0.4759/13*5)+((($H$1*$I$1)+$J$1)*0.5241/11*11))/30*16</f>
        <v>6743117.7604775392</v>
      </c>
      <c r="L2" s="197">
        <f>(((($H$1*$I$1)+$J$1)*0.4759/13*13)+((($H$1*$I$1)+$J$1)*0.5241/11*3))/30*16</f>
        <v>5901088.2612538179</v>
      </c>
      <c r="M2" s="197">
        <f>(((($H$1*$I$1)+$J$1)*0.4759/30*20/13*13)+((($H$1*$I$1)+$J$1)*0.5241/30*20/11*3))/20*10</f>
        <v>3688180.1632836368</v>
      </c>
      <c r="N2" s="197">
        <f>(((($H$1*$I$1)+$J$1)*0.4759/30*24/13*13)+((($H$1*$I$1)+$J$1)*0.5241/30*24/11*3))/24*12</f>
        <v>4425816.1959403632</v>
      </c>
      <c r="O2" s="197">
        <f>((($H$1*$I$1)+$J$1)*0.4759/13*12)/30*16</f>
        <v>4188995.3992836922</v>
      </c>
      <c r="P2" s="197">
        <f>((($H$1*$I$1)+$J$1)*0.4759/30*20/13*12)/20*10</f>
        <v>2618122.1245523077</v>
      </c>
      <c r="Q2" s="197">
        <f>((($H$1*$I$1)+$J$1)*0.4759/30*24/13*12)/24*12</f>
        <v>3141746.5494627692</v>
      </c>
      <c r="R2" s="197">
        <f>(((($H$1*$I$1)+$J$1)*0.4759/13*1)+((($H$1*$I$1)+$J$1)*0.5241/11*11))/30*16</f>
        <v>5346785.9607163081</v>
      </c>
      <c r="S2" s="197">
        <f>(((($H$1*$I$1)+$J$1)*0.4759/30*24/13*1)+((($H$1*$I$1)+$J$1)*0.5241/30*24/11*11))/24*12</f>
        <v>4010089.4705372313</v>
      </c>
      <c r="T2" s="197">
        <f>(((($H$1*$I$1)+$J$1)*0.4759/13*1)+((($H$1*$I$1)+$J$1)*0.5241/11*11))/30*16</f>
        <v>5346785.9607163081</v>
      </c>
      <c r="U2" s="197">
        <f>(((($H$1*$I$1)+$J$1)*0.5241/11*8))/30*16</f>
        <v>3634693.0987461819</v>
      </c>
      <c r="V2" s="197">
        <f>(((($H$1*$I$1)+$J$1)*0.5241/11*8))/30*16</f>
        <v>3634693.0987461819</v>
      </c>
      <c r="W2" s="197">
        <f>((($H$1*$I$1)+$J$1)*0.5241/30*20/11*8)</f>
        <v>4543366.3734327266</v>
      </c>
      <c r="X2" s="197">
        <f>((($H$1*$I$1)+$J$1)*0.4759/30*24/13*8)/24*12</f>
        <v>2094497.6996418461</v>
      </c>
      <c r="Y2" s="197">
        <f>((($H$1*$I$1)+$J$1)*0.4759/30*20/13*8)/20*10</f>
        <v>1745414.7497015386</v>
      </c>
      <c r="Z2" s="197">
        <f>((($H$1*$I$1)+$J$1)*0.4759/13*8)/30*16</f>
        <v>2792663.5995224616</v>
      </c>
      <c r="AA2" s="3"/>
      <c r="AB2" s="2">
        <f>+'ZONA 1 9,77'!AB2/30*16</f>
        <v>13537.955555555556</v>
      </c>
      <c r="AC2" s="2">
        <f>+'ZONA 1 9,77'!AC2/30*16</f>
        <v>52621.688888888893</v>
      </c>
      <c r="AD2" s="2">
        <f>+'ZONA 1 9,77'!AD2/30*16</f>
        <v>67410.133333333331</v>
      </c>
      <c r="AE2" s="2">
        <f>+'ZONA 1 9,77'!AE2/30*16</f>
        <v>48947.555555555555</v>
      </c>
      <c r="AF2" s="2">
        <f>+'ZONA 1 9,77'!AF2/30*16</f>
        <v>154350.57777777777</v>
      </c>
      <c r="AG2" s="2">
        <f>+'ZONA 1 9,77'!AG2/30*16</f>
        <v>51940.26666666667</v>
      </c>
    </row>
    <row r="3" spans="1:33" x14ac:dyDescent="0.25">
      <c r="A3" s="200"/>
      <c r="B3" s="200"/>
      <c r="C3" s="200"/>
      <c r="D3" s="4" t="s">
        <v>2</v>
      </c>
      <c r="E3" s="193">
        <f>E2*10%</f>
        <v>953578.13600000017</v>
      </c>
      <c r="F3" s="193">
        <f>F2*8%</f>
        <v>762862.50880000007</v>
      </c>
      <c r="G3" s="193">
        <f>G2*8%</f>
        <v>762862.50880000007</v>
      </c>
      <c r="H3" s="193">
        <f>H2*11%</f>
        <v>1048935.9496000002</v>
      </c>
      <c r="I3" s="193">
        <f>I2*8%</f>
        <v>476789.06800000003</v>
      </c>
      <c r="J3" s="193">
        <f>J2*8%</f>
        <v>572146.88160000008</v>
      </c>
      <c r="K3" s="193">
        <f>K2*8%</f>
        <v>539449.42083820316</v>
      </c>
      <c r="L3" s="193">
        <f t="shared" ref="L3:S3" si="0">L2*8%</f>
        <v>472087.06090030546</v>
      </c>
      <c r="M3" s="193">
        <f t="shared" si="0"/>
        <v>295054.41306269093</v>
      </c>
      <c r="N3" s="193">
        <f t="shared" si="0"/>
        <v>354065.29567522905</v>
      </c>
      <c r="O3" s="193">
        <f t="shared" si="0"/>
        <v>335119.63194269541</v>
      </c>
      <c r="P3" s="193">
        <f t="shared" si="0"/>
        <v>209449.76996418461</v>
      </c>
      <c r="Q3" s="193">
        <f t="shared" si="0"/>
        <v>251339.72395702155</v>
      </c>
      <c r="R3" s="193">
        <f t="shared" si="0"/>
        <v>427742.87685730465</v>
      </c>
      <c r="S3" s="193">
        <f t="shared" si="0"/>
        <v>320807.15764297853</v>
      </c>
      <c r="T3" s="193">
        <f>T2*10%</f>
        <v>534678.59607163083</v>
      </c>
      <c r="U3" s="193">
        <f>U2*10%</f>
        <v>363469.30987461819</v>
      </c>
      <c r="V3" s="193">
        <f>V2*8%</f>
        <v>290775.44789969455</v>
      </c>
      <c r="W3" s="193">
        <f>W2*8%</f>
        <v>363469.30987461813</v>
      </c>
      <c r="X3" s="193">
        <f>X2*8%</f>
        <v>167559.81597134771</v>
      </c>
      <c r="Y3" s="193">
        <f>Y2*8%</f>
        <v>139633.17997612309</v>
      </c>
      <c r="Z3" s="193">
        <f>Z2*8%</f>
        <v>223413.08796179693</v>
      </c>
      <c r="AA3" s="3"/>
      <c r="AB3" s="2"/>
      <c r="AC3" s="2"/>
      <c r="AD3" s="2"/>
      <c r="AE3" s="2"/>
      <c r="AF3" s="2"/>
      <c r="AG3" s="2"/>
    </row>
    <row r="4" spans="1:33" ht="15.75" thickBot="1" x14ac:dyDescent="0.3">
      <c r="A4" s="200"/>
      <c r="B4" s="200"/>
      <c r="C4" s="200"/>
      <c r="D4" s="5" t="s">
        <v>3</v>
      </c>
      <c r="E4" s="193">
        <f>(E2+E3)*0.019</f>
        <v>199297.83042400001</v>
      </c>
      <c r="F4" s="193">
        <f t="shared" ref="F4:Z4" si="1">(F2+F3)*0.019</f>
        <v>195674.23350720003</v>
      </c>
      <c r="G4" s="193">
        <f t="shared" si="1"/>
        <v>195674.23350720003</v>
      </c>
      <c r="H4" s="193">
        <f t="shared" si="1"/>
        <v>201109.62888240002</v>
      </c>
      <c r="I4" s="193">
        <f t="shared" si="1"/>
        <v>122296.395942</v>
      </c>
      <c r="J4" s="193">
        <f t="shared" si="1"/>
        <v>146755.67513040002</v>
      </c>
      <c r="K4" s="193">
        <f t="shared" si="1"/>
        <v>138368.77644499909</v>
      </c>
      <c r="L4" s="193">
        <f t="shared" si="1"/>
        <v>121090.33112092834</v>
      </c>
      <c r="M4" s="193">
        <f t="shared" si="1"/>
        <v>75681.456950580221</v>
      </c>
      <c r="N4" s="193">
        <f t="shared" si="1"/>
        <v>90817.748340696256</v>
      </c>
      <c r="O4" s="193">
        <f t="shared" si="1"/>
        <v>85958.185593301358</v>
      </c>
      <c r="P4" s="193">
        <f t="shared" si="1"/>
        <v>53723.86599581335</v>
      </c>
      <c r="Q4" s="193">
        <f t="shared" si="1"/>
        <v>64468.639194976029</v>
      </c>
      <c r="R4" s="193">
        <f t="shared" si="1"/>
        <v>109716.04791389864</v>
      </c>
      <c r="S4" s="193">
        <f t="shared" si="1"/>
        <v>82287.035935423977</v>
      </c>
      <c r="T4" s="193">
        <f t="shared" si="1"/>
        <v>111747.82657897084</v>
      </c>
      <c r="U4" s="193">
        <f t="shared" si="1"/>
        <v>75965.085763795199</v>
      </c>
      <c r="V4" s="193">
        <f t="shared" si="1"/>
        <v>74583.902386271657</v>
      </c>
      <c r="W4" s="193">
        <f t="shared" si="1"/>
        <v>93229.877982839549</v>
      </c>
      <c r="X4" s="193">
        <f t="shared" si="1"/>
        <v>42979.092796650679</v>
      </c>
      <c r="Y4" s="193">
        <f t="shared" si="1"/>
        <v>35815.910663875569</v>
      </c>
      <c r="Z4" s="193">
        <f t="shared" si="1"/>
        <v>57305.457062200912</v>
      </c>
      <c r="AA4" s="3"/>
      <c r="AB4" s="2">
        <f>+AB2*0.19</f>
        <v>2572.2115555555556</v>
      </c>
      <c r="AC4" s="2">
        <f t="shared" ref="AC4:AG4" si="2">+AC2*0.19</f>
        <v>9998.1208888888905</v>
      </c>
      <c r="AD4" s="2">
        <f t="shared" si="2"/>
        <v>12807.925333333333</v>
      </c>
      <c r="AE4" s="2">
        <f t="shared" si="2"/>
        <v>9300.0355555555561</v>
      </c>
      <c r="AF4" s="2">
        <f t="shared" si="2"/>
        <v>29326.609777777776</v>
      </c>
      <c r="AG4" s="2">
        <f t="shared" si="2"/>
        <v>9868.6506666666683</v>
      </c>
    </row>
    <row r="5" spans="1:33" ht="15.75" thickBot="1" x14ac:dyDescent="0.3">
      <c r="A5" s="201"/>
      <c r="B5" s="201"/>
      <c r="C5" s="201"/>
      <c r="D5" s="6" t="s">
        <v>4</v>
      </c>
      <c r="E5" s="195">
        <f>+E2+E3+E4</f>
        <v>10688657.326424001</v>
      </c>
      <c r="F5" s="196">
        <f t="shared" ref="F5:Z5" si="3">+F2+F3+F4</f>
        <v>10494318.1023072</v>
      </c>
      <c r="G5" s="196">
        <f t="shared" si="3"/>
        <v>10494318.1023072</v>
      </c>
      <c r="H5" s="196">
        <f t="shared" si="3"/>
        <v>10785826.938482402</v>
      </c>
      <c r="I5" s="196">
        <f t="shared" si="3"/>
        <v>6558948.8139420003</v>
      </c>
      <c r="J5" s="196">
        <f t="shared" si="3"/>
        <v>7870738.5767304013</v>
      </c>
      <c r="K5" s="196">
        <f t="shared" si="3"/>
        <v>7420935.9577607419</v>
      </c>
      <c r="L5" s="196">
        <f t="shared" si="3"/>
        <v>6494265.6532750521</v>
      </c>
      <c r="M5" s="196">
        <f t="shared" si="3"/>
        <v>4058916.0332969078</v>
      </c>
      <c r="N5" s="196">
        <f t="shared" si="3"/>
        <v>4870699.2399562886</v>
      </c>
      <c r="O5" s="196">
        <f t="shared" si="3"/>
        <v>4610073.2168196887</v>
      </c>
      <c r="P5" s="196">
        <f t="shared" si="3"/>
        <v>2881295.7605123054</v>
      </c>
      <c r="Q5" s="196">
        <f t="shared" si="3"/>
        <v>3457554.912614767</v>
      </c>
      <c r="R5" s="196">
        <f t="shared" si="3"/>
        <v>5884244.8854875118</v>
      </c>
      <c r="S5" s="196">
        <f t="shared" si="3"/>
        <v>4413183.6641156338</v>
      </c>
      <c r="T5" s="196">
        <f t="shared" si="3"/>
        <v>5993212.3833669098</v>
      </c>
      <c r="U5" s="196">
        <f t="shared" si="3"/>
        <v>4074127.4943845952</v>
      </c>
      <c r="V5" s="196">
        <f t="shared" si="3"/>
        <v>4000052.4490321483</v>
      </c>
      <c r="W5" s="196">
        <f t="shared" si="3"/>
        <v>5000065.561290185</v>
      </c>
      <c r="X5" s="196">
        <f t="shared" si="3"/>
        <v>2305036.6084098443</v>
      </c>
      <c r="Y5" s="196">
        <f t="shared" si="3"/>
        <v>1920863.8403415373</v>
      </c>
      <c r="Z5" s="196">
        <f t="shared" si="3"/>
        <v>3073382.1445464599</v>
      </c>
      <c r="AA5" s="3"/>
      <c r="AB5" s="2">
        <f>+AB2+AB4</f>
        <v>16110.167111111112</v>
      </c>
      <c r="AC5" s="2">
        <f>+AC2+AC4</f>
        <v>62619.809777777788</v>
      </c>
      <c r="AD5" s="2">
        <f t="shared" ref="AD5:AG5" si="4">+AD2+AD4</f>
        <v>80218.058666666664</v>
      </c>
      <c r="AE5" s="2">
        <f t="shared" si="4"/>
        <v>58247.591111111113</v>
      </c>
      <c r="AF5" s="2">
        <f t="shared" si="4"/>
        <v>183677.18755555555</v>
      </c>
      <c r="AG5" s="2">
        <f t="shared" si="4"/>
        <v>61808.917333333338</v>
      </c>
    </row>
    <row r="6" spans="1:33" ht="108.75" thickBot="1" x14ac:dyDescent="0.3">
      <c r="A6" s="7" t="s">
        <v>5</v>
      </c>
      <c r="B6" s="8" t="s">
        <v>6</v>
      </c>
      <c r="C6" s="7" t="s">
        <v>7</v>
      </c>
      <c r="D6" s="9" t="s">
        <v>8</v>
      </c>
      <c r="E6" s="10" t="s">
        <v>9</v>
      </c>
      <c r="F6" s="11" t="s">
        <v>10</v>
      </c>
      <c r="G6" s="11" t="s">
        <v>11</v>
      </c>
      <c r="H6" s="11" t="s">
        <v>12</v>
      </c>
      <c r="I6" s="12" t="s">
        <v>13</v>
      </c>
      <c r="J6" s="12" t="s">
        <v>14</v>
      </c>
      <c r="K6" s="12" t="s">
        <v>273</v>
      </c>
      <c r="L6" s="11" t="s">
        <v>274</v>
      </c>
      <c r="M6" s="12" t="s">
        <v>275</v>
      </c>
      <c r="N6" s="11" t="s">
        <v>276</v>
      </c>
      <c r="O6" s="11" t="s">
        <v>19</v>
      </c>
      <c r="P6" s="11" t="s">
        <v>20</v>
      </c>
      <c r="Q6" s="11" t="s">
        <v>21</v>
      </c>
      <c r="R6" s="13" t="s">
        <v>277</v>
      </c>
      <c r="S6" s="14" t="s">
        <v>278</v>
      </c>
      <c r="T6" s="15" t="s">
        <v>24</v>
      </c>
      <c r="U6" s="11" t="s">
        <v>25</v>
      </c>
      <c r="V6" s="11" t="s">
        <v>26</v>
      </c>
      <c r="W6" s="12" t="s">
        <v>27</v>
      </c>
      <c r="X6" s="11" t="s">
        <v>28</v>
      </c>
      <c r="Y6" s="12" t="s">
        <v>29</v>
      </c>
      <c r="Z6" s="14" t="s">
        <v>30</v>
      </c>
      <c r="AA6" s="3"/>
      <c r="AB6" s="16" t="s">
        <v>31</v>
      </c>
      <c r="AC6" s="17" t="s">
        <v>32</v>
      </c>
      <c r="AD6" s="18" t="s">
        <v>33</v>
      </c>
      <c r="AE6" s="18" t="s">
        <v>34</v>
      </c>
      <c r="AF6" s="18" t="s">
        <v>35</v>
      </c>
      <c r="AG6" s="19" t="s">
        <v>36</v>
      </c>
    </row>
    <row r="7" spans="1:33" ht="27.75" thickBot="1" x14ac:dyDescent="0.3">
      <c r="A7" s="20" t="s">
        <v>37</v>
      </c>
      <c r="B7" s="21" t="s">
        <v>38</v>
      </c>
      <c r="C7" s="22" t="s">
        <v>39</v>
      </c>
      <c r="D7" s="22" t="s">
        <v>40</v>
      </c>
      <c r="E7" s="23">
        <v>0</v>
      </c>
      <c r="F7" s="23">
        <v>1</v>
      </c>
      <c r="G7" s="23">
        <v>0</v>
      </c>
      <c r="H7" s="23">
        <v>0</v>
      </c>
      <c r="I7" s="24">
        <v>0</v>
      </c>
      <c r="J7" s="24">
        <v>0</v>
      </c>
      <c r="K7" s="24">
        <v>0</v>
      </c>
      <c r="L7" s="23">
        <v>0</v>
      </c>
      <c r="M7" s="24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4">
        <v>0</v>
      </c>
      <c r="T7" s="23">
        <v>0</v>
      </c>
      <c r="U7" s="23">
        <v>0</v>
      </c>
      <c r="V7" s="23">
        <v>0</v>
      </c>
      <c r="W7" s="24">
        <v>0</v>
      </c>
      <c r="X7" s="23">
        <v>0</v>
      </c>
      <c r="Y7" s="24">
        <v>0</v>
      </c>
      <c r="Z7" s="25">
        <v>0</v>
      </c>
      <c r="AA7" s="3"/>
      <c r="AB7" s="26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</row>
    <row r="8" spans="1:33" ht="15.75" thickBot="1" x14ac:dyDescent="0.3">
      <c r="A8" s="28" t="s">
        <v>37</v>
      </c>
      <c r="B8" s="29" t="s">
        <v>41</v>
      </c>
      <c r="C8" s="30" t="s">
        <v>42</v>
      </c>
      <c r="D8" s="30" t="s">
        <v>40</v>
      </c>
      <c r="E8" s="31">
        <v>0</v>
      </c>
      <c r="F8" s="31">
        <v>2</v>
      </c>
      <c r="G8" s="31">
        <v>1</v>
      </c>
      <c r="H8" s="31">
        <v>0</v>
      </c>
      <c r="I8" s="32">
        <v>0</v>
      </c>
      <c r="J8" s="32">
        <v>0</v>
      </c>
      <c r="K8" s="24">
        <v>0</v>
      </c>
      <c r="L8" s="31">
        <v>0</v>
      </c>
      <c r="M8" s="32">
        <v>0</v>
      </c>
      <c r="N8" s="31">
        <v>0</v>
      </c>
      <c r="O8" s="31">
        <v>0</v>
      </c>
      <c r="P8" s="31">
        <v>0</v>
      </c>
      <c r="Q8" s="31">
        <v>5</v>
      </c>
      <c r="R8" s="31">
        <v>0</v>
      </c>
      <c r="S8" s="32">
        <v>0</v>
      </c>
      <c r="T8" s="31">
        <v>0</v>
      </c>
      <c r="U8" s="31">
        <v>0</v>
      </c>
      <c r="V8" s="31">
        <v>0</v>
      </c>
      <c r="W8" s="32">
        <v>0</v>
      </c>
      <c r="X8" s="31">
        <v>0</v>
      </c>
      <c r="Y8" s="32">
        <v>0</v>
      </c>
      <c r="Z8" s="33">
        <v>0</v>
      </c>
      <c r="AA8" s="3"/>
      <c r="AB8" s="26">
        <v>30</v>
      </c>
      <c r="AC8" s="26">
        <v>0</v>
      </c>
      <c r="AD8" s="26">
        <v>2</v>
      </c>
      <c r="AE8" s="26">
        <v>2</v>
      </c>
      <c r="AF8" s="26">
        <v>1</v>
      </c>
      <c r="AG8" s="26">
        <v>4</v>
      </c>
    </row>
    <row r="9" spans="1:33" ht="27.75" thickBot="1" x14ac:dyDescent="0.3">
      <c r="A9" s="28" t="s">
        <v>37</v>
      </c>
      <c r="B9" s="29" t="s">
        <v>43</v>
      </c>
      <c r="C9" s="30" t="s">
        <v>44</v>
      </c>
      <c r="D9" s="30" t="s">
        <v>40</v>
      </c>
      <c r="E9" s="31">
        <v>0</v>
      </c>
      <c r="F9" s="31">
        <v>3</v>
      </c>
      <c r="G9" s="31">
        <v>0</v>
      </c>
      <c r="H9" s="31">
        <v>0</v>
      </c>
      <c r="I9" s="32">
        <v>0</v>
      </c>
      <c r="J9" s="32">
        <v>0</v>
      </c>
      <c r="K9" s="24">
        <v>0</v>
      </c>
      <c r="L9" s="31">
        <v>0</v>
      </c>
      <c r="M9" s="32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2">
        <v>0</v>
      </c>
      <c r="T9" s="31">
        <v>0</v>
      </c>
      <c r="U9" s="31">
        <v>0</v>
      </c>
      <c r="V9" s="31">
        <v>0</v>
      </c>
      <c r="W9" s="32">
        <v>0</v>
      </c>
      <c r="X9" s="31">
        <v>0</v>
      </c>
      <c r="Y9" s="32">
        <v>0</v>
      </c>
      <c r="Z9" s="33">
        <v>0</v>
      </c>
      <c r="AA9" s="3"/>
      <c r="AB9" s="26">
        <f>30-2</f>
        <v>28</v>
      </c>
      <c r="AC9" s="26"/>
      <c r="AD9" s="26">
        <v>2</v>
      </c>
      <c r="AE9" s="26">
        <v>2</v>
      </c>
      <c r="AF9" s="26">
        <v>1</v>
      </c>
      <c r="AG9" s="26">
        <v>4</v>
      </c>
    </row>
    <row r="10" spans="1:33" ht="27.75" thickBot="1" x14ac:dyDescent="0.3">
      <c r="A10" s="28" t="s">
        <v>37</v>
      </c>
      <c r="B10" s="29" t="s">
        <v>45</v>
      </c>
      <c r="C10" s="30" t="s">
        <v>46</v>
      </c>
      <c r="D10" s="30" t="s">
        <v>40</v>
      </c>
      <c r="E10" s="31">
        <v>0</v>
      </c>
      <c r="F10" s="31">
        <v>3</v>
      </c>
      <c r="G10" s="31">
        <v>0</v>
      </c>
      <c r="H10" s="31">
        <v>0</v>
      </c>
      <c r="I10" s="32">
        <v>0</v>
      </c>
      <c r="J10" s="32">
        <v>0</v>
      </c>
      <c r="K10" s="24">
        <v>0</v>
      </c>
      <c r="L10" s="31">
        <v>0</v>
      </c>
      <c r="M10" s="32">
        <v>0</v>
      </c>
      <c r="N10" s="31">
        <v>1</v>
      </c>
      <c r="O10" s="31">
        <v>0</v>
      </c>
      <c r="P10" s="31">
        <v>0</v>
      </c>
      <c r="Q10" s="31">
        <v>0</v>
      </c>
      <c r="R10" s="31">
        <v>0</v>
      </c>
      <c r="S10" s="32">
        <v>0</v>
      </c>
      <c r="T10" s="31">
        <v>0</v>
      </c>
      <c r="U10" s="31">
        <v>0</v>
      </c>
      <c r="V10" s="31">
        <v>0</v>
      </c>
      <c r="W10" s="32">
        <v>0</v>
      </c>
      <c r="X10" s="31">
        <v>0</v>
      </c>
      <c r="Y10" s="32">
        <v>0</v>
      </c>
      <c r="Z10" s="33">
        <v>0</v>
      </c>
      <c r="AA10" s="3"/>
      <c r="AB10" s="26">
        <v>16</v>
      </c>
      <c r="AC10" s="26">
        <v>0</v>
      </c>
      <c r="AD10" s="26">
        <v>1</v>
      </c>
      <c r="AE10" s="26">
        <v>1</v>
      </c>
      <c r="AF10" s="26">
        <v>0</v>
      </c>
      <c r="AG10" s="26">
        <v>0</v>
      </c>
    </row>
    <row r="11" spans="1:33" ht="27.75" thickBot="1" x14ac:dyDescent="0.3">
      <c r="A11" s="28" t="s">
        <v>37</v>
      </c>
      <c r="B11" s="29" t="s">
        <v>47</v>
      </c>
      <c r="C11" s="30" t="s">
        <v>48</v>
      </c>
      <c r="D11" s="30" t="s">
        <v>40</v>
      </c>
      <c r="E11" s="31">
        <v>0</v>
      </c>
      <c r="F11" s="31">
        <v>4</v>
      </c>
      <c r="G11" s="31">
        <v>0</v>
      </c>
      <c r="H11" s="31">
        <v>0</v>
      </c>
      <c r="I11" s="32">
        <v>0</v>
      </c>
      <c r="J11" s="32">
        <v>0</v>
      </c>
      <c r="K11" s="24">
        <v>0</v>
      </c>
      <c r="L11" s="31">
        <v>0</v>
      </c>
      <c r="M11" s="32">
        <v>0</v>
      </c>
      <c r="N11" s="31">
        <v>1</v>
      </c>
      <c r="O11" s="31">
        <v>0</v>
      </c>
      <c r="P11" s="31">
        <v>0</v>
      </c>
      <c r="Q11" s="31">
        <v>0</v>
      </c>
      <c r="R11" s="31">
        <v>0</v>
      </c>
      <c r="S11" s="32">
        <v>0</v>
      </c>
      <c r="T11" s="31">
        <v>0</v>
      </c>
      <c r="U11" s="31">
        <v>0</v>
      </c>
      <c r="V11" s="31">
        <v>0</v>
      </c>
      <c r="W11" s="32">
        <v>0</v>
      </c>
      <c r="X11" s="31">
        <v>0</v>
      </c>
      <c r="Y11" s="32">
        <v>0</v>
      </c>
      <c r="Z11" s="33">
        <v>0</v>
      </c>
      <c r="AA11" s="3"/>
      <c r="AB11" s="26">
        <v>8</v>
      </c>
      <c r="AC11" s="26">
        <v>0</v>
      </c>
      <c r="AD11" s="26">
        <v>1</v>
      </c>
      <c r="AE11" s="26">
        <v>1</v>
      </c>
      <c r="AF11" s="26">
        <v>0</v>
      </c>
      <c r="AG11" s="26">
        <v>0</v>
      </c>
    </row>
    <row r="12" spans="1:33" ht="27.75" thickBot="1" x14ac:dyDescent="0.3">
      <c r="A12" s="28" t="s">
        <v>37</v>
      </c>
      <c r="B12" s="29" t="s">
        <v>49</v>
      </c>
      <c r="C12" s="30" t="s">
        <v>50</v>
      </c>
      <c r="D12" s="30" t="s">
        <v>40</v>
      </c>
      <c r="E12" s="31">
        <v>0</v>
      </c>
      <c r="F12" s="31">
        <v>3</v>
      </c>
      <c r="G12" s="31">
        <v>0</v>
      </c>
      <c r="H12" s="31">
        <v>0</v>
      </c>
      <c r="I12" s="32">
        <v>0</v>
      </c>
      <c r="J12" s="32">
        <v>0</v>
      </c>
      <c r="K12" s="24">
        <v>0</v>
      </c>
      <c r="L12" s="31">
        <v>0</v>
      </c>
      <c r="M12" s="32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2">
        <v>0</v>
      </c>
      <c r="T12" s="31">
        <v>0</v>
      </c>
      <c r="U12" s="31">
        <v>0</v>
      </c>
      <c r="V12" s="31">
        <v>0</v>
      </c>
      <c r="W12" s="32">
        <v>0</v>
      </c>
      <c r="X12" s="31">
        <v>0</v>
      </c>
      <c r="Y12" s="32">
        <v>0</v>
      </c>
      <c r="Z12" s="33">
        <v>0</v>
      </c>
      <c r="AA12" s="3"/>
      <c r="AB12" s="26">
        <v>4</v>
      </c>
      <c r="AC12" s="26">
        <v>0</v>
      </c>
      <c r="AD12" s="26">
        <v>1</v>
      </c>
      <c r="AE12" s="26">
        <v>1</v>
      </c>
      <c r="AF12" s="26">
        <v>0</v>
      </c>
      <c r="AG12" s="26">
        <v>0</v>
      </c>
    </row>
    <row r="13" spans="1:33" ht="27.75" thickBot="1" x14ac:dyDescent="0.3">
      <c r="A13" s="28" t="s">
        <v>37</v>
      </c>
      <c r="B13" s="34" t="s">
        <v>51</v>
      </c>
      <c r="C13" s="30" t="s">
        <v>52</v>
      </c>
      <c r="D13" s="30" t="s">
        <v>53</v>
      </c>
      <c r="E13" s="31">
        <v>0</v>
      </c>
      <c r="F13" s="31">
        <v>3</v>
      </c>
      <c r="G13" s="31">
        <v>0</v>
      </c>
      <c r="H13" s="31">
        <v>0</v>
      </c>
      <c r="I13" s="32">
        <v>0</v>
      </c>
      <c r="J13" s="32">
        <v>0</v>
      </c>
      <c r="K13" s="24">
        <v>0</v>
      </c>
      <c r="L13" s="31">
        <v>0</v>
      </c>
      <c r="M13" s="32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2">
        <v>0</v>
      </c>
      <c r="T13" s="31">
        <v>0</v>
      </c>
      <c r="U13" s="31">
        <v>0</v>
      </c>
      <c r="V13" s="31">
        <v>0</v>
      </c>
      <c r="W13" s="32">
        <v>0</v>
      </c>
      <c r="X13" s="31">
        <v>0</v>
      </c>
      <c r="Y13" s="32">
        <v>0</v>
      </c>
      <c r="Z13" s="33">
        <v>0</v>
      </c>
      <c r="AA13" s="3"/>
      <c r="AB13" s="26">
        <v>8</v>
      </c>
      <c r="AC13" s="26"/>
      <c r="AD13" s="26">
        <v>1</v>
      </c>
      <c r="AE13" s="26">
        <v>1</v>
      </c>
      <c r="AF13" s="26"/>
      <c r="AG13" s="26">
        <v>1</v>
      </c>
    </row>
    <row r="14" spans="1:33" ht="27.75" thickBot="1" x14ac:dyDescent="0.3">
      <c r="A14" s="28" t="s">
        <v>37</v>
      </c>
      <c r="B14" s="29" t="s">
        <v>54</v>
      </c>
      <c r="C14" s="30" t="s">
        <v>55</v>
      </c>
      <c r="D14" s="30" t="s">
        <v>40</v>
      </c>
      <c r="E14" s="31">
        <v>0</v>
      </c>
      <c r="F14" s="31">
        <v>3</v>
      </c>
      <c r="G14" s="31">
        <v>0</v>
      </c>
      <c r="H14" s="31">
        <v>0</v>
      </c>
      <c r="I14" s="32">
        <v>0</v>
      </c>
      <c r="J14" s="32">
        <v>0</v>
      </c>
      <c r="K14" s="24">
        <v>0</v>
      </c>
      <c r="L14" s="31">
        <v>0</v>
      </c>
      <c r="M14" s="32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2">
        <v>0</v>
      </c>
      <c r="T14" s="31">
        <v>0</v>
      </c>
      <c r="U14" s="31">
        <v>0</v>
      </c>
      <c r="V14" s="31">
        <v>0</v>
      </c>
      <c r="W14" s="32">
        <v>0</v>
      </c>
      <c r="X14" s="31">
        <v>0</v>
      </c>
      <c r="Y14" s="32">
        <v>0</v>
      </c>
      <c r="Z14" s="33">
        <v>0</v>
      </c>
      <c r="AA14" s="3"/>
      <c r="AB14" s="26">
        <v>10</v>
      </c>
      <c r="AC14" s="26">
        <v>2</v>
      </c>
      <c r="AD14" s="26">
        <v>1</v>
      </c>
      <c r="AE14" s="26">
        <v>1</v>
      </c>
      <c r="AF14" s="26">
        <v>1</v>
      </c>
      <c r="AG14" s="26">
        <v>1</v>
      </c>
    </row>
    <row r="15" spans="1:33" ht="27.75" thickBot="1" x14ac:dyDescent="0.3">
      <c r="A15" s="28" t="s">
        <v>37</v>
      </c>
      <c r="B15" s="29" t="s">
        <v>56</v>
      </c>
      <c r="C15" s="30" t="s">
        <v>57</v>
      </c>
      <c r="D15" s="30" t="s">
        <v>58</v>
      </c>
      <c r="E15" s="31">
        <v>0</v>
      </c>
      <c r="F15" s="31">
        <v>2</v>
      </c>
      <c r="G15" s="31">
        <v>0</v>
      </c>
      <c r="H15" s="31">
        <v>0</v>
      </c>
      <c r="I15" s="32">
        <v>0</v>
      </c>
      <c r="J15" s="32">
        <v>0</v>
      </c>
      <c r="K15" s="24">
        <v>0</v>
      </c>
      <c r="L15" s="31">
        <v>0</v>
      </c>
      <c r="M15" s="32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2">
        <v>0</v>
      </c>
      <c r="T15" s="31">
        <v>0</v>
      </c>
      <c r="U15" s="31">
        <v>0</v>
      </c>
      <c r="V15" s="31">
        <v>0</v>
      </c>
      <c r="W15" s="32">
        <v>0</v>
      </c>
      <c r="X15" s="31">
        <v>0</v>
      </c>
      <c r="Y15" s="32">
        <v>0</v>
      </c>
      <c r="Z15" s="33">
        <v>0</v>
      </c>
      <c r="AA15" s="3"/>
      <c r="AB15" s="26">
        <v>4</v>
      </c>
      <c r="AC15" s="26">
        <v>0</v>
      </c>
      <c r="AD15" s="26">
        <v>1</v>
      </c>
      <c r="AE15" s="26">
        <v>1</v>
      </c>
      <c r="AF15" s="26">
        <v>0</v>
      </c>
      <c r="AG15" s="26">
        <v>1</v>
      </c>
    </row>
    <row r="16" spans="1:33" ht="27.75" thickBot="1" x14ac:dyDescent="0.3">
      <c r="A16" s="28" t="s">
        <v>37</v>
      </c>
      <c r="B16" s="34" t="s">
        <v>51</v>
      </c>
      <c r="C16" s="30" t="s">
        <v>59</v>
      </c>
      <c r="D16" s="30" t="s">
        <v>60</v>
      </c>
      <c r="E16" s="31">
        <v>0</v>
      </c>
      <c r="F16" s="31">
        <v>3</v>
      </c>
      <c r="G16" s="31">
        <v>0</v>
      </c>
      <c r="H16" s="31">
        <v>0</v>
      </c>
      <c r="I16" s="32">
        <v>0</v>
      </c>
      <c r="J16" s="32">
        <v>0</v>
      </c>
      <c r="K16" s="24">
        <v>0</v>
      </c>
      <c r="L16" s="31">
        <v>1</v>
      </c>
      <c r="M16" s="32">
        <v>0</v>
      </c>
      <c r="N16" s="31">
        <v>0</v>
      </c>
      <c r="O16" s="31">
        <v>0</v>
      </c>
      <c r="P16" s="31">
        <v>0</v>
      </c>
      <c r="Q16" s="31">
        <v>0</v>
      </c>
      <c r="R16" s="31">
        <v>1</v>
      </c>
      <c r="S16" s="32">
        <v>0</v>
      </c>
      <c r="T16" s="31">
        <v>0</v>
      </c>
      <c r="U16" s="31">
        <v>0</v>
      </c>
      <c r="V16" s="31">
        <v>0</v>
      </c>
      <c r="W16" s="32">
        <v>0</v>
      </c>
      <c r="X16" s="31">
        <v>0</v>
      </c>
      <c r="Y16" s="32">
        <v>0</v>
      </c>
      <c r="Z16" s="33">
        <v>0</v>
      </c>
      <c r="AA16" s="3"/>
      <c r="AB16" s="35">
        <f>28</f>
        <v>28</v>
      </c>
      <c r="AC16" s="35">
        <v>4</v>
      </c>
      <c r="AD16" s="35">
        <v>1</v>
      </c>
      <c r="AE16" s="35">
        <v>1</v>
      </c>
      <c r="AF16" s="35">
        <v>1</v>
      </c>
      <c r="AG16" s="35">
        <f>4-4</f>
        <v>0</v>
      </c>
    </row>
    <row r="17" spans="1:33" ht="41.25" thickBot="1" x14ac:dyDescent="0.3">
      <c r="A17" s="28" t="s">
        <v>37</v>
      </c>
      <c r="B17" s="29" t="s">
        <v>61</v>
      </c>
      <c r="C17" s="30" t="s">
        <v>62</v>
      </c>
      <c r="D17" s="30" t="s">
        <v>60</v>
      </c>
      <c r="E17" s="31">
        <v>2</v>
      </c>
      <c r="F17" s="31">
        <v>3</v>
      </c>
      <c r="G17" s="31">
        <v>0</v>
      </c>
      <c r="H17" s="31">
        <v>0</v>
      </c>
      <c r="I17" s="32">
        <v>0</v>
      </c>
      <c r="J17" s="32">
        <v>0</v>
      </c>
      <c r="K17" s="24">
        <v>0</v>
      </c>
      <c r="L17" s="31">
        <v>0</v>
      </c>
      <c r="M17" s="32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2">
        <v>0</v>
      </c>
      <c r="T17" s="31">
        <v>0</v>
      </c>
      <c r="U17" s="31">
        <v>0</v>
      </c>
      <c r="V17" s="31">
        <v>0</v>
      </c>
      <c r="W17" s="32">
        <v>0</v>
      </c>
      <c r="X17" s="31">
        <v>0</v>
      </c>
      <c r="Y17" s="32">
        <v>0</v>
      </c>
      <c r="Z17" s="33">
        <v>0</v>
      </c>
      <c r="AA17" s="3"/>
      <c r="AB17" s="35">
        <v>32</v>
      </c>
      <c r="AC17" s="35">
        <v>5</v>
      </c>
      <c r="AD17" s="35">
        <v>3</v>
      </c>
      <c r="AE17" s="35">
        <v>3</v>
      </c>
      <c r="AF17" s="35">
        <v>1</v>
      </c>
      <c r="AG17" s="35">
        <f>3-3</f>
        <v>0</v>
      </c>
    </row>
    <row r="18" spans="1:33" ht="31.5" customHeight="1" thickBot="1" x14ac:dyDescent="0.3">
      <c r="A18" s="28" t="s">
        <v>37</v>
      </c>
      <c r="B18" s="34" t="s">
        <v>51</v>
      </c>
      <c r="C18" s="30" t="s">
        <v>63</v>
      </c>
      <c r="D18" s="30" t="s">
        <v>64</v>
      </c>
      <c r="E18" s="31">
        <v>0</v>
      </c>
      <c r="F18" s="31">
        <v>2</v>
      </c>
      <c r="G18" s="31">
        <v>0</v>
      </c>
      <c r="H18" s="31">
        <v>0</v>
      </c>
      <c r="I18" s="32">
        <v>0</v>
      </c>
      <c r="J18" s="32">
        <v>0</v>
      </c>
      <c r="K18" s="24">
        <v>0</v>
      </c>
      <c r="L18" s="31">
        <v>0</v>
      </c>
      <c r="M18" s="32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2">
        <v>0</v>
      </c>
      <c r="T18" s="31">
        <v>0</v>
      </c>
      <c r="U18" s="31">
        <v>0</v>
      </c>
      <c r="V18" s="31">
        <v>0</v>
      </c>
      <c r="W18" s="32">
        <v>0</v>
      </c>
      <c r="X18" s="31">
        <v>0</v>
      </c>
      <c r="Y18" s="32">
        <v>0</v>
      </c>
      <c r="Z18" s="33">
        <v>0</v>
      </c>
      <c r="AA18" s="3"/>
      <c r="AB18" s="26">
        <v>4</v>
      </c>
      <c r="AC18" s="26"/>
      <c r="AD18" s="26">
        <v>1</v>
      </c>
      <c r="AE18" s="26"/>
      <c r="AF18" s="26"/>
      <c r="AG18" s="26">
        <v>1</v>
      </c>
    </row>
    <row r="19" spans="1:33" ht="41.25" thickBot="1" x14ac:dyDescent="0.3">
      <c r="A19" s="28" t="s">
        <v>37</v>
      </c>
      <c r="B19" s="29" t="s">
        <v>65</v>
      </c>
      <c r="C19" s="30" t="s">
        <v>66</v>
      </c>
      <c r="D19" s="30" t="s">
        <v>40</v>
      </c>
      <c r="E19" s="31">
        <v>0</v>
      </c>
      <c r="F19" s="31">
        <v>2</v>
      </c>
      <c r="G19" s="31">
        <v>0</v>
      </c>
      <c r="H19" s="31">
        <v>0</v>
      </c>
      <c r="I19" s="32">
        <v>0</v>
      </c>
      <c r="J19" s="32">
        <v>0</v>
      </c>
      <c r="K19" s="24">
        <v>0</v>
      </c>
      <c r="L19" s="31">
        <v>0</v>
      </c>
      <c r="M19" s="32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2">
        <v>0</v>
      </c>
      <c r="T19" s="31">
        <v>0</v>
      </c>
      <c r="U19" s="31">
        <v>0</v>
      </c>
      <c r="V19" s="31">
        <v>0</v>
      </c>
      <c r="W19" s="32">
        <v>0</v>
      </c>
      <c r="X19" s="31">
        <v>0</v>
      </c>
      <c r="Y19" s="32">
        <v>0</v>
      </c>
      <c r="Z19" s="33">
        <v>0</v>
      </c>
      <c r="AA19" s="3"/>
      <c r="AB19" s="35">
        <v>8</v>
      </c>
      <c r="AC19" s="35">
        <v>0</v>
      </c>
      <c r="AD19" s="35">
        <v>1</v>
      </c>
      <c r="AE19" s="35">
        <v>1</v>
      </c>
      <c r="AF19" s="35">
        <v>0</v>
      </c>
      <c r="AG19" s="35">
        <f>1-1</f>
        <v>0</v>
      </c>
    </row>
    <row r="20" spans="1:33" ht="15.75" thickBot="1" x14ac:dyDescent="0.3">
      <c r="A20" s="28" t="s">
        <v>37</v>
      </c>
      <c r="B20" s="29" t="s">
        <v>67</v>
      </c>
      <c r="C20" s="36" t="s">
        <v>68</v>
      </c>
      <c r="D20" s="30" t="s">
        <v>40</v>
      </c>
      <c r="E20" s="31">
        <v>0</v>
      </c>
      <c r="F20" s="31">
        <v>2</v>
      </c>
      <c r="G20" s="31">
        <v>0</v>
      </c>
      <c r="H20" s="31">
        <v>0</v>
      </c>
      <c r="I20" s="32">
        <v>0</v>
      </c>
      <c r="J20" s="32">
        <v>0</v>
      </c>
      <c r="K20" s="24">
        <v>0</v>
      </c>
      <c r="L20" s="31">
        <v>1</v>
      </c>
      <c r="M20" s="32">
        <v>0</v>
      </c>
      <c r="N20" s="31">
        <v>0</v>
      </c>
      <c r="O20" s="31">
        <v>0</v>
      </c>
      <c r="P20" s="31">
        <v>0</v>
      </c>
      <c r="Q20" s="31">
        <v>1</v>
      </c>
      <c r="R20" s="31">
        <v>0</v>
      </c>
      <c r="S20" s="32">
        <v>0</v>
      </c>
      <c r="T20" s="31">
        <v>0</v>
      </c>
      <c r="U20" s="31">
        <v>0</v>
      </c>
      <c r="V20" s="31">
        <v>0</v>
      </c>
      <c r="W20" s="32">
        <v>0</v>
      </c>
      <c r="X20" s="31">
        <v>0</v>
      </c>
      <c r="Y20" s="32">
        <v>0</v>
      </c>
      <c r="Z20" s="33">
        <v>0</v>
      </c>
      <c r="AA20" s="3"/>
      <c r="AB20" s="26">
        <f>41-8</f>
        <v>33</v>
      </c>
      <c r="AC20" s="26">
        <v>1</v>
      </c>
      <c r="AD20" s="26">
        <v>2</v>
      </c>
      <c r="AE20" s="26">
        <v>2</v>
      </c>
      <c r="AF20" s="26">
        <v>1</v>
      </c>
      <c r="AG20" s="26">
        <v>4</v>
      </c>
    </row>
    <row r="21" spans="1:33" ht="27.75" thickBot="1" x14ac:dyDescent="0.3">
      <c r="A21" s="28" t="s">
        <v>37</v>
      </c>
      <c r="B21" s="29" t="s">
        <v>69</v>
      </c>
      <c r="C21" s="30" t="s">
        <v>70</v>
      </c>
      <c r="D21" s="30" t="s">
        <v>40</v>
      </c>
      <c r="E21" s="31">
        <v>0</v>
      </c>
      <c r="F21" s="31">
        <v>2</v>
      </c>
      <c r="G21" s="31">
        <v>0</v>
      </c>
      <c r="H21" s="31">
        <v>0</v>
      </c>
      <c r="I21" s="32">
        <v>0</v>
      </c>
      <c r="J21" s="32">
        <v>0</v>
      </c>
      <c r="K21" s="24">
        <v>0</v>
      </c>
      <c r="L21" s="31">
        <v>0</v>
      </c>
      <c r="M21" s="32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2">
        <v>0</v>
      </c>
      <c r="T21" s="31">
        <v>0</v>
      </c>
      <c r="U21" s="31">
        <v>0</v>
      </c>
      <c r="V21" s="31">
        <v>1</v>
      </c>
      <c r="W21" s="32">
        <v>0</v>
      </c>
      <c r="X21" s="31">
        <v>0</v>
      </c>
      <c r="Y21" s="32">
        <v>0</v>
      </c>
      <c r="Z21" s="33">
        <v>0</v>
      </c>
      <c r="AA21" s="3"/>
      <c r="AB21" s="26">
        <f>15</f>
        <v>15</v>
      </c>
      <c r="AC21" s="26">
        <v>0</v>
      </c>
      <c r="AD21" s="26">
        <v>1</v>
      </c>
      <c r="AE21" s="26">
        <v>1</v>
      </c>
      <c r="AF21" s="26">
        <v>1</v>
      </c>
      <c r="AG21" s="26">
        <v>4</v>
      </c>
    </row>
    <row r="22" spans="1:33" ht="27.75" thickBot="1" x14ac:dyDescent="0.3">
      <c r="A22" s="28" t="s">
        <v>37</v>
      </c>
      <c r="B22" s="29" t="s">
        <v>71</v>
      </c>
      <c r="C22" s="36" t="s">
        <v>72</v>
      </c>
      <c r="D22" s="30" t="s">
        <v>40</v>
      </c>
      <c r="E22" s="31">
        <v>0</v>
      </c>
      <c r="F22" s="31">
        <v>2</v>
      </c>
      <c r="G22" s="31">
        <v>0</v>
      </c>
      <c r="H22" s="31">
        <v>0</v>
      </c>
      <c r="I22" s="32">
        <v>0</v>
      </c>
      <c r="J22" s="32">
        <v>0</v>
      </c>
      <c r="K22" s="24">
        <v>0</v>
      </c>
      <c r="L22" s="31">
        <v>2</v>
      </c>
      <c r="M22" s="32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2">
        <v>0</v>
      </c>
      <c r="T22" s="31">
        <v>0</v>
      </c>
      <c r="U22" s="31">
        <v>0</v>
      </c>
      <c r="V22" s="31">
        <v>0</v>
      </c>
      <c r="W22" s="32">
        <v>0</v>
      </c>
      <c r="X22" s="31">
        <v>0</v>
      </c>
      <c r="Y22" s="32">
        <v>0</v>
      </c>
      <c r="Z22" s="33">
        <v>0</v>
      </c>
      <c r="AA22" s="3"/>
      <c r="AB22" s="26">
        <v>5</v>
      </c>
      <c r="AC22" s="26">
        <v>0</v>
      </c>
      <c r="AD22" s="26">
        <v>1</v>
      </c>
      <c r="AE22" s="26">
        <v>1</v>
      </c>
      <c r="AF22" s="26">
        <v>0</v>
      </c>
      <c r="AG22" s="26">
        <v>0</v>
      </c>
    </row>
    <row r="23" spans="1:33" ht="27.75" thickBot="1" x14ac:dyDescent="0.3">
      <c r="A23" s="28" t="s">
        <v>37</v>
      </c>
      <c r="B23" s="29" t="s">
        <v>73</v>
      </c>
      <c r="C23" s="30" t="s">
        <v>74</v>
      </c>
      <c r="D23" s="30" t="s">
        <v>40</v>
      </c>
      <c r="E23" s="31">
        <v>0</v>
      </c>
      <c r="F23" s="31">
        <v>2</v>
      </c>
      <c r="G23" s="31">
        <v>0</v>
      </c>
      <c r="H23" s="31">
        <v>0</v>
      </c>
      <c r="I23" s="32">
        <v>0</v>
      </c>
      <c r="J23" s="32">
        <v>0</v>
      </c>
      <c r="K23" s="24">
        <v>0</v>
      </c>
      <c r="L23" s="31">
        <v>0</v>
      </c>
      <c r="M23" s="32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2">
        <v>0</v>
      </c>
      <c r="T23" s="31">
        <v>0</v>
      </c>
      <c r="U23" s="31">
        <v>0</v>
      </c>
      <c r="V23" s="31">
        <v>0</v>
      </c>
      <c r="W23" s="32">
        <v>0</v>
      </c>
      <c r="X23" s="31">
        <v>0</v>
      </c>
      <c r="Y23" s="32">
        <v>0</v>
      </c>
      <c r="Z23" s="33">
        <v>0</v>
      </c>
      <c r="AA23" s="3"/>
      <c r="AB23" s="26">
        <v>13</v>
      </c>
      <c r="AC23" s="26">
        <v>0</v>
      </c>
      <c r="AD23" s="26">
        <v>1</v>
      </c>
      <c r="AE23" s="26">
        <v>1</v>
      </c>
      <c r="AF23" s="26">
        <v>1</v>
      </c>
      <c r="AG23" s="26">
        <v>2</v>
      </c>
    </row>
    <row r="24" spans="1:33" ht="27.75" thickBot="1" x14ac:dyDescent="0.3">
      <c r="A24" s="28" t="s">
        <v>37</v>
      </c>
      <c r="B24" s="29" t="s">
        <v>75</v>
      </c>
      <c r="C24" s="37" t="s">
        <v>76</v>
      </c>
      <c r="D24" s="30" t="s">
        <v>77</v>
      </c>
      <c r="E24" s="31">
        <v>0</v>
      </c>
      <c r="F24" s="31">
        <v>0</v>
      </c>
      <c r="G24" s="31">
        <v>0</v>
      </c>
      <c r="H24" s="31">
        <v>0</v>
      </c>
      <c r="I24" s="32">
        <v>0</v>
      </c>
      <c r="J24" s="32">
        <v>0</v>
      </c>
      <c r="K24" s="24">
        <v>0</v>
      </c>
      <c r="L24" s="31">
        <v>0</v>
      </c>
      <c r="M24" s="32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2">
        <v>0</v>
      </c>
      <c r="T24" s="31">
        <v>0</v>
      </c>
      <c r="U24" s="31">
        <v>0</v>
      </c>
      <c r="V24" s="31">
        <v>0</v>
      </c>
      <c r="W24" s="32">
        <v>0</v>
      </c>
      <c r="X24" s="31">
        <v>0</v>
      </c>
      <c r="Y24" s="32">
        <v>0</v>
      </c>
      <c r="Z24" s="33">
        <v>0</v>
      </c>
      <c r="AA24" s="3"/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</row>
    <row r="25" spans="1:33" ht="27.75" thickBot="1" x14ac:dyDescent="0.3">
      <c r="A25" s="28" t="s">
        <v>37</v>
      </c>
      <c r="B25" s="34" t="s">
        <v>78</v>
      </c>
      <c r="C25" s="37" t="s">
        <v>76</v>
      </c>
      <c r="D25" s="30" t="s">
        <v>77</v>
      </c>
      <c r="E25" s="31">
        <v>0</v>
      </c>
      <c r="F25" s="31">
        <v>3</v>
      </c>
      <c r="G25" s="31">
        <v>1</v>
      </c>
      <c r="H25" s="31">
        <v>0</v>
      </c>
      <c r="I25" s="32">
        <v>0</v>
      </c>
      <c r="J25" s="32">
        <v>0</v>
      </c>
      <c r="K25" s="24">
        <v>0</v>
      </c>
      <c r="L25" s="31">
        <v>0</v>
      </c>
      <c r="M25" s="32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2">
        <v>0</v>
      </c>
      <c r="T25" s="31">
        <v>0</v>
      </c>
      <c r="U25" s="31">
        <v>0</v>
      </c>
      <c r="V25" s="31">
        <v>0</v>
      </c>
      <c r="W25" s="32">
        <v>0</v>
      </c>
      <c r="X25" s="31">
        <v>0</v>
      </c>
      <c r="Y25" s="32">
        <v>0</v>
      </c>
      <c r="Z25" s="33">
        <v>0</v>
      </c>
      <c r="AA25" s="3"/>
      <c r="AB25" s="26">
        <v>25</v>
      </c>
      <c r="AC25" s="26">
        <v>0</v>
      </c>
      <c r="AD25" s="26">
        <v>2</v>
      </c>
      <c r="AE25" s="26">
        <v>2</v>
      </c>
      <c r="AF25" s="26">
        <v>1</v>
      </c>
      <c r="AG25" s="26">
        <v>2</v>
      </c>
    </row>
    <row r="26" spans="1:33" ht="41.25" thickBot="1" x14ac:dyDescent="0.3">
      <c r="A26" s="28" t="s">
        <v>37</v>
      </c>
      <c r="B26" s="34" t="s">
        <v>79</v>
      </c>
      <c r="C26" s="37" t="s">
        <v>80</v>
      </c>
      <c r="D26" s="30" t="s">
        <v>81</v>
      </c>
      <c r="E26" s="31">
        <v>0</v>
      </c>
      <c r="F26" s="31">
        <v>1</v>
      </c>
      <c r="G26" s="31">
        <v>0</v>
      </c>
      <c r="H26" s="31">
        <v>0</v>
      </c>
      <c r="I26" s="32">
        <v>0</v>
      </c>
      <c r="J26" s="32">
        <v>0</v>
      </c>
      <c r="K26" s="24">
        <v>0</v>
      </c>
      <c r="L26" s="31">
        <v>0</v>
      </c>
      <c r="M26" s="32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2">
        <v>0</v>
      </c>
      <c r="T26" s="31">
        <v>0</v>
      </c>
      <c r="U26" s="31">
        <v>0</v>
      </c>
      <c r="V26" s="31">
        <v>0</v>
      </c>
      <c r="W26" s="32">
        <v>0</v>
      </c>
      <c r="X26" s="31">
        <v>0</v>
      </c>
      <c r="Y26" s="32">
        <v>0</v>
      </c>
      <c r="Z26" s="33">
        <v>0</v>
      </c>
      <c r="AA26" s="3"/>
      <c r="AB26" s="26">
        <v>25</v>
      </c>
      <c r="AC26" s="26">
        <v>5</v>
      </c>
      <c r="AD26" s="26">
        <v>3</v>
      </c>
      <c r="AE26" s="26">
        <v>2</v>
      </c>
      <c r="AF26" s="26">
        <v>1</v>
      </c>
      <c r="AG26" s="26">
        <v>4</v>
      </c>
    </row>
    <row r="27" spans="1:33" ht="27.75" thickBot="1" x14ac:dyDescent="0.3">
      <c r="A27" s="28" t="s">
        <v>37</v>
      </c>
      <c r="B27" s="34" t="s">
        <v>82</v>
      </c>
      <c r="C27" s="37" t="s">
        <v>83</v>
      </c>
      <c r="D27" s="30" t="s">
        <v>40</v>
      </c>
      <c r="E27" s="31">
        <v>0</v>
      </c>
      <c r="F27" s="31">
        <v>1</v>
      </c>
      <c r="G27" s="31">
        <v>0</v>
      </c>
      <c r="H27" s="31">
        <v>0</v>
      </c>
      <c r="I27" s="32">
        <v>0</v>
      </c>
      <c r="J27" s="32">
        <v>0</v>
      </c>
      <c r="K27" s="24">
        <v>0</v>
      </c>
      <c r="L27" s="31">
        <v>0</v>
      </c>
      <c r="M27" s="32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2">
        <v>0</v>
      </c>
      <c r="T27" s="31">
        <v>0</v>
      </c>
      <c r="U27" s="31">
        <v>0</v>
      </c>
      <c r="V27" s="31">
        <v>0</v>
      </c>
      <c r="W27" s="32">
        <v>0</v>
      </c>
      <c r="X27" s="31">
        <v>0</v>
      </c>
      <c r="Y27" s="32">
        <v>0</v>
      </c>
      <c r="Z27" s="33">
        <v>0</v>
      </c>
      <c r="AA27" s="3"/>
      <c r="AB27" s="26">
        <f>42-7</f>
        <v>35</v>
      </c>
      <c r="AC27" s="26">
        <v>2</v>
      </c>
      <c r="AD27" s="26">
        <v>2</v>
      </c>
      <c r="AE27" s="26">
        <v>2</v>
      </c>
      <c r="AF27" s="26">
        <v>1</v>
      </c>
      <c r="AG27" s="26">
        <v>5</v>
      </c>
    </row>
    <row r="28" spans="1:33" ht="15.75" thickBot="1" x14ac:dyDescent="0.3">
      <c r="A28" s="28" t="s">
        <v>37</v>
      </c>
      <c r="B28" s="34" t="s">
        <v>82</v>
      </c>
      <c r="C28" s="37" t="s">
        <v>84</v>
      </c>
      <c r="D28" s="30" t="s">
        <v>40</v>
      </c>
      <c r="E28" s="31">
        <v>0</v>
      </c>
      <c r="F28" s="31">
        <v>3</v>
      </c>
      <c r="G28" s="31">
        <v>1</v>
      </c>
      <c r="H28" s="31">
        <v>0</v>
      </c>
      <c r="I28" s="32">
        <v>0</v>
      </c>
      <c r="J28" s="32">
        <v>0</v>
      </c>
      <c r="K28" s="24">
        <v>0</v>
      </c>
      <c r="L28" s="31">
        <v>0</v>
      </c>
      <c r="M28" s="32">
        <v>0</v>
      </c>
      <c r="N28" s="31">
        <v>0</v>
      </c>
      <c r="O28" s="31">
        <v>0</v>
      </c>
      <c r="P28" s="31">
        <v>0</v>
      </c>
      <c r="Q28" s="31">
        <v>1</v>
      </c>
      <c r="R28" s="31">
        <v>0</v>
      </c>
      <c r="S28" s="32">
        <v>0</v>
      </c>
      <c r="T28" s="31">
        <v>0</v>
      </c>
      <c r="U28" s="31">
        <v>0</v>
      </c>
      <c r="V28" s="31">
        <v>0</v>
      </c>
      <c r="W28" s="32">
        <v>0</v>
      </c>
      <c r="X28" s="31">
        <v>0</v>
      </c>
      <c r="Y28" s="32">
        <v>0</v>
      </c>
      <c r="Z28" s="33">
        <v>0</v>
      </c>
      <c r="AA28" s="3"/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</row>
    <row r="29" spans="1:33" ht="27.75" thickBot="1" x14ac:dyDescent="0.3">
      <c r="A29" s="28" t="s">
        <v>37</v>
      </c>
      <c r="B29" s="34" t="s">
        <v>85</v>
      </c>
      <c r="C29" s="37" t="s">
        <v>86</v>
      </c>
      <c r="D29" s="30" t="s">
        <v>40</v>
      </c>
      <c r="E29" s="31">
        <v>0</v>
      </c>
      <c r="F29" s="31">
        <v>4</v>
      </c>
      <c r="G29" s="31">
        <v>0</v>
      </c>
      <c r="H29" s="31">
        <v>0</v>
      </c>
      <c r="I29" s="32">
        <v>0</v>
      </c>
      <c r="J29" s="32">
        <v>0</v>
      </c>
      <c r="K29" s="24">
        <v>0</v>
      </c>
      <c r="L29" s="31">
        <v>0</v>
      </c>
      <c r="M29" s="32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2">
        <v>0</v>
      </c>
      <c r="T29" s="31">
        <v>0</v>
      </c>
      <c r="U29" s="31">
        <v>0</v>
      </c>
      <c r="V29" s="31">
        <v>0</v>
      </c>
      <c r="W29" s="32">
        <v>0</v>
      </c>
      <c r="X29" s="31">
        <v>0</v>
      </c>
      <c r="Y29" s="32">
        <v>0</v>
      </c>
      <c r="Z29" s="33">
        <v>0</v>
      </c>
      <c r="AA29" s="3"/>
      <c r="AB29" s="26">
        <v>21</v>
      </c>
      <c r="AC29" s="26">
        <v>4</v>
      </c>
      <c r="AD29" s="26">
        <v>1</v>
      </c>
      <c r="AE29" s="26">
        <v>0</v>
      </c>
      <c r="AF29" s="26">
        <v>1</v>
      </c>
      <c r="AG29" s="26">
        <v>2</v>
      </c>
    </row>
    <row r="30" spans="1:33" ht="95.25" thickBot="1" x14ac:dyDescent="0.3">
      <c r="A30" s="28" t="s">
        <v>37</v>
      </c>
      <c r="B30" s="34" t="s">
        <v>87</v>
      </c>
      <c r="C30" s="37" t="s">
        <v>88</v>
      </c>
      <c r="D30" s="30" t="s">
        <v>89</v>
      </c>
      <c r="E30" s="31">
        <v>1</v>
      </c>
      <c r="F30" s="31">
        <v>1</v>
      </c>
      <c r="G30" s="31">
        <v>0</v>
      </c>
      <c r="H30" s="31">
        <v>0</v>
      </c>
      <c r="I30" s="32">
        <v>0</v>
      </c>
      <c r="J30" s="32">
        <v>0</v>
      </c>
      <c r="K30" s="24">
        <v>0</v>
      </c>
      <c r="L30" s="31">
        <v>0</v>
      </c>
      <c r="M30" s="32">
        <v>0</v>
      </c>
      <c r="N30" s="31">
        <v>0</v>
      </c>
      <c r="O30" s="31">
        <v>0</v>
      </c>
      <c r="P30" s="31">
        <v>0</v>
      </c>
      <c r="Q30" s="31">
        <v>0</v>
      </c>
      <c r="R30" s="31">
        <v>1</v>
      </c>
      <c r="S30" s="32">
        <v>0</v>
      </c>
      <c r="T30" s="31">
        <v>0</v>
      </c>
      <c r="U30" s="31">
        <v>0</v>
      </c>
      <c r="V30" s="31">
        <v>0</v>
      </c>
      <c r="W30" s="32">
        <v>0</v>
      </c>
      <c r="X30" s="31">
        <v>0</v>
      </c>
      <c r="Y30" s="32">
        <v>0</v>
      </c>
      <c r="Z30" s="33">
        <v>0</v>
      </c>
      <c r="AA30" s="3"/>
      <c r="AB30" s="26">
        <v>16</v>
      </c>
      <c r="AC30" s="26"/>
      <c r="AD30" s="26">
        <v>1</v>
      </c>
      <c r="AE30" s="26">
        <v>1</v>
      </c>
      <c r="AF30" s="26"/>
      <c r="AG30" s="26">
        <v>1</v>
      </c>
    </row>
    <row r="31" spans="1:33" ht="95.25" thickBot="1" x14ac:dyDescent="0.3">
      <c r="A31" s="28" t="s">
        <v>37</v>
      </c>
      <c r="B31" s="34" t="s">
        <v>90</v>
      </c>
      <c r="C31" s="37" t="s">
        <v>88</v>
      </c>
      <c r="D31" s="30" t="s">
        <v>91</v>
      </c>
      <c r="E31" s="31">
        <v>0</v>
      </c>
      <c r="F31" s="31">
        <v>3</v>
      </c>
      <c r="G31" s="31">
        <v>0</v>
      </c>
      <c r="H31" s="31">
        <v>0</v>
      </c>
      <c r="I31" s="32">
        <v>0</v>
      </c>
      <c r="J31" s="32">
        <v>0</v>
      </c>
      <c r="K31" s="24">
        <v>0</v>
      </c>
      <c r="L31" s="31">
        <v>0</v>
      </c>
      <c r="M31" s="32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2">
        <v>0</v>
      </c>
      <c r="T31" s="31">
        <v>0</v>
      </c>
      <c r="U31" s="31">
        <v>0</v>
      </c>
      <c r="V31" s="31">
        <v>0</v>
      </c>
      <c r="W31" s="32">
        <v>0</v>
      </c>
      <c r="X31" s="31">
        <v>0</v>
      </c>
      <c r="Y31" s="32">
        <v>0</v>
      </c>
      <c r="Z31" s="33">
        <v>0</v>
      </c>
      <c r="AA31" s="38">
        <f>AA36*7.5</f>
        <v>5766734250.9446163</v>
      </c>
      <c r="AB31" s="26">
        <v>16</v>
      </c>
      <c r="AC31" s="26"/>
      <c r="AD31" s="26">
        <v>1</v>
      </c>
      <c r="AE31" s="26">
        <v>1</v>
      </c>
      <c r="AF31" s="26"/>
      <c r="AG31" s="26">
        <v>1</v>
      </c>
    </row>
    <row r="32" spans="1:33" ht="27.75" thickBot="1" x14ac:dyDescent="0.3">
      <c r="A32" s="28" t="s">
        <v>37</v>
      </c>
      <c r="B32" s="34" t="s">
        <v>92</v>
      </c>
      <c r="C32" s="37" t="s">
        <v>93</v>
      </c>
      <c r="D32" s="30" t="s">
        <v>40</v>
      </c>
      <c r="E32" s="31">
        <v>0</v>
      </c>
      <c r="F32" s="31">
        <v>2</v>
      </c>
      <c r="G32" s="31">
        <v>0</v>
      </c>
      <c r="H32" s="31">
        <v>0</v>
      </c>
      <c r="I32" s="32">
        <v>0</v>
      </c>
      <c r="J32" s="32">
        <v>0</v>
      </c>
      <c r="K32" s="24">
        <v>0</v>
      </c>
      <c r="L32" s="31">
        <v>0</v>
      </c>
      <c r="M32" s="32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1">
        <v>0</v>
      </c>
      <c r="U32" s="31">
        <v>0</v>
      </c>
      <c r="V32" s="31">
        <v>0</v>
      </c>
      <c r="W32" s="32">
        <v>0</v>
      </c>
      <c r="X32" s="31">
        <v>0</v>
      </c>
      <c r="Y32" s="32">
        <v>0</v>
      </c>
      <c r="Z32" s="33">
        <v>0</v>
      </c>
      <c r="AA32" s="3"/>
      <c r="AB32" s="26">
        <v>6</v>
      </c>
      <c r="AC32" s="26">
        <v>0</v>
      </c>
      <c r="AD32" s="26">
        <v>1</v>
      </c>
      <c r="AE32" s="26">
        <v>1</v>
      </c>
      <c r="AF32" s="26">
        <v>0</v>
      </c>
      <c r="AG32" s="26">
        <v>1</v>
      </c>
    </row>
    <row r="33" spans="1:33" ht="15.75" thickBot="1" x14ac:dyDescent="0.3">
      <c r="A33" s="202" t="s">
        <v>94</v>
      </c>
      <c r="B33" s="203"/>
      <c r="C33" s="203"/>
      <c r="D33" s="204"/>
      <c r="E33" s="39">
        <f t="shared" ref="E33:AG33" si="5">SUM(E7:E32)</f>
        <v>3</v>
      </c>
      <c r="F33" s="40">
        <f t="shared" si="5"/>
        <v>60</v>
      </c>
      <c r="G33" s="40">
        <f t="shared" si="5"/>
        <v>3</v>
      </c>
      <c r="H33" s="40">
        <f t="shared" si="5"/>
        <v>0</v>
      </c>
      <c r="I33" s="41">
        <f t="shared" si="5"/>
        <v>0</v>
      </c>
      <c r="J33" s="41">
        <f t="shared" si="5"/>
        <v>0</v>
      </c>
      <c r="K33" s="41"/>
      <c r="L33" s="40">
        <f t="shared" si="5"/>
        <v>4</v>
      </c>
      <c r="M33" s="41">
        <f t="shared" si="5"/>
        <v>0</v>
      </c>
      <c r="N33" s="40">
        <f t="shared" si="5"/>
        <v>2</v>
      </c>
      <c r="O33" s="40">
        <f t="shared" si="5"/>
        <v>0</v>
      </c>
      <c r="P33" s="40">
        <f t="shared" si="5"/>
        <v>0</v>
      </c>
      <c r="Q33" s="40">
        <f t="shared" si="5"/>
        <v>7</v>
      </c>
      <c r="R33" s="40">
        <f t="shared" si="5"/>
        <v>2</v>
      </c>
      <c r="S33" s="41">
        <f t="shared" si="5"/>
        <v>0</v>
      </c>
      <c r="T33" s="40">
        <f t="shared" si="5"/>
        <v>0</v>
      </c>
      <c r="U33" s="40">
        <f t="shared" si="5"/>
        <v>0</v>
      </c>
      <c r="V33" s="40">
        <f t="shared" si="5"/>
        <v>1</v>
      </c>
      <c r="W33" s="41">
        <f t="shared" si="5"/>
        <v>0</v>
      </c>
      <c r="X33" s="40">
        <f t="shared" si="5"/>
        <v>0</v>
      </c>
      <c r="Y33" s="41">
        <f t="shared" si="5"/>
        <v>0</v>
      </c>
      <c r="Z33" s="42">
        <f t="shared" si="5"/>
        <v>0</v>
      </c>
      <c r="AA33" s="43">
        <f>SUM(E33:Z33)</f>
        <v>82</v>
      </c>
      <c r="AB33" s="44">
        <f t="shared" si="5"/>
        <v>390</v>
      </c>
      <c r="AC33" s="44">
        <f t="shared" si="5"/>
        <v>23</v>
      </c>
      <c r="AD33" s="44">
        <f t="shared" si="5"/>
        <v>32</v>
      </c>
      <c r="AE33" s="44">
        <f t="shared" si="5"/>
        <v>29</v>
      </c>
      <c r="AF33" s="44">
        <f t="shared" si="5"/>
        <v>12</v>
      </c>
      <c r="AG33" s="44">
        <f t="shared" si="5"/>
        <v>38</v>
      </c>
    </row>
    <row r="34" spans="1:33" ht="15.75" thickBot="1" x14ac:dyDescent="0.3">
      <c r="A34" s="45"/>
      <c r="B34" s="46"/>
      <c r="C34" s="46"/>
      <c r="D34" s="46"/>
      <c r="E34" s="47"/>
      <c r="F34" s="47"/>
      <c r="G34" s="47"/>
      <c r="H34" s="47"/>
      <c r="I34" s="48"/>
      <c r="J34" s="48"/>
      <c r="K34" s="48"/>
      <c r="L34" s="47"/>
      <c r="M34" s="48"/>
      <c r="N34" s="47"/>
      <c r="O34" s="47"/>
      <c r="P34" s="47"/>
      <c r="Q34" s="47"/>
      <c r="R34" s="47"/>
      <c r="S34" s="48"/>
      <c r="T34" s="47"/>
      <c r="U34" s="47"/>
      <c r="V34" s="47"/>
      <c r="W34" s="48"/>
      <c r="X34" s="47"/>
      <c r="Y34" s="48"/>
      <c r="Z34" s="49"/>
      <c r="AA34" s="50">
        <f>SUM(E34:Z34)</f>
        <v>0</v>
      </c>
      <c r="AB34" s="51"/>
      <c r="AC34" s="51"/>
      <c r="AD34" s="51"/>
      <c r="AE34" s="51"/>
      <c r="AF34" s="51"/>
      <c r="AG34" s="51"/>
    </row>
    <row r="35" spans="1:33" ht="15.75" thickBot="1" x14ac:dyDescent="0.3">
      <c r="A35" s="45"/>
      <c r="B35" s="199" t="s">
        <v>95</v>
      </c>
      <c r="C35" s="199"/>
      <c r="D35" s="46"/>
      <c r="E35" s="47"/>
      <c r="F35" s="47"/>
      <c r="G35" s="47"/>
      <c r="H35" s="47"/>
      <c r="I35" s="48"/>
      <c r="J35" s="48"/>
      <c r="K35" s="48"/>
      <c r="L35" s="47"/>
      <c r="M35" s="48"/>
      <c r="N35" s="47"/>
      <c r="O35" s="47"/>
      <c r="P35" s="47"/>
      <c r="Q35" s="47"/>
      <c r="R35" s="47"/>
      <c r="S35" s="48"/>
      <c r="T35" s="47"/>
      <c r="U35" s="47"/>
      <c r="V35" s="47"/>
      <c r="W35" s="48"/>
      <c r="X35" s="47"/>
      <c r="Y35" s="48"/>
      <c r="Z35" s="49"/>
      <c r="AA35" s="53">
        <f>SUM(E35:Z35)</f>
        <v>0</v>
      </c>
      <c r="AB35" s="51"/>
      <c r="AC35" s="51"/>
      <c r="AD35" s="51"/>
      <c r="AE35" s="51"/>
      <c r="AF35" s="51"/>
      <c r="AG35" s="51"/>
    </row>
    <row r="36" spans="1:33" s="59" customFormat="1" ht="15.75" thickBot="1" x14ac:dyDescent="0.3">
      <c r="A36" s="205" t="s">
        <v>96</v>
      </c>
      <c r="B36" s="206"/>
      <c r="C36" s="206"/>
      <c r="D36" s="206"/>
      <c r="E36" s="54">
        <f t="shared" ref="E36:J36" si="6">E33*E5</f>
        <v>32065971.979272</v>
      </c>
      <c r="F36" s="54">
        <f t="shared" si="6"/>
        <v>629659086.13843203</v>
      </c>
      <c r="G36" s="54">
        <f t="shared" si="6"/>
        <v>31482954.306921601</v>
      </c>
      <c r="H36" s="54">
        <f t="shared" si="6"/>
        <v>0</v>
      </c>
      <c r="I36" s="55">
        <f t="shared" si="6"/>
        <v>0</v>
      </c>
      <c r="J36" s="55">
        <f t="shared" si="6"/>
        <v>0</v>
      </c>
      <c r="K36" s="55"/>
      <c r="L36" s="54">
        <f>L33*L5</f>
        <v>25977062.613100208</v>
      </c>
      <c r="M36" s="55">
        <f>M33*M5</f>
        <v>0</v>
      </c>
      <c r="N36" s="54">
        <f t="shared" ref="N36:Z36" si="7">N33*N5</f>
        <v>9741398.4799125772</v>
      </c>
      <c r="O36" s="54">
        <f t="shared" si="7"/>
        <v>0</v>
      </c>
      <c r="P36" s="54">
        <f t="shared" si="7"/>
        <v>0</v>
      </c>
      <c r="Q36" s="54">
        <f t="shared" si="7"/>
        <v>24202884.388303369</v>
      </c>
      <c r="R36" s="54">
        <f t="shared" si="7"/>
        <v>11768489.770975024</v>
      </c>
      <c r="S36" s="55">
        <f t="shared" si="7"/>
        <v>0</v>
      </c>
      <c r="T36" s="54">
        <f t="shared" si="7"/>
        <v>0</v>
      </c>
      <c r="U36" s="54">
        <f t="shared" si="7"/>
        <v>0</v>
      </c>
      <c r="V36" s="54">
        <f t="shared" si="7"/>
        <v>4000052.4490321483</v>
      </c>
      <c r="W36" s="55">
        <f t="shared" si="7"/>
        <v>0</v>
      </c>
      <c r="X36" s="54">
        <f t="shared" si="7"/>
        <v>0</v>
      </c>
      <c r="Y36" s="55">
        <f t="shared" si="7"/>
        <v>0</v>
      </c>
      <c r="Z36" s="56">
        <f t="shared" si="7"/>
        <v>0</v>
      </c>
      <c r="AA36" s="57">
        <f>SUM(E36:Z36)</f>
        <v>768897900.12594891</v>
      </c>
      <c r="AB36" s="58">
        <f t="shared" ref="AB36:AG36" si="8">AB33*AB5</f>
        <v>6282965.1733333338</v>
      </c>
      <c r="AC36" s="58">
        <f t="shared" si="8"/>
        <v>1440255.624888889</v>
      </c>
      <c r="AD36" s="58">
        <f t="shared" si="8"/>
        <v>2566977.8773333333</v>
      </c>
      <c r="AE36" s="58">
        <f t="shared" si="8"/>
        <v>1689180.1422222222</v>
      </c>
      <c r="AF36" s="58">
        <f t="shared" si="8"/>
        <v>2204126.2506666668</v>
      </c>
      <c r="AG36" s="58">
        <f t="shared" si="8"/>
        <v>2348738.8586666668</v>
      </c>
    </row>
    <row r="37" spans="1:33" ht="15.75" thickBot="1" x14ac:dyDescent="0.3">
      <c r="A37" s="20" t="s">
        <v>97</v>
      </c>
      <c r="B37" s="21" t="s">
        <v>98</v>
      </c>
      <c r="C37" s="22" t="s">
        <v>99</v>
      </c>
      <c r="D37" s="22" t="s">
        <v>100</v>
      </c>
      <c r="E37" s="23">
        <v>0</v>
      </c>
      <c r="F37" s="23">
        <v>1</v>
      </c>
      <c r="G37" s="23">
        <v>0</v>
      </c>
      <c r="H37" s="23">
        <v>0</v>
      </c>
      <c r="I37" s="24">
        <v>0</v>
      </c>
      <c r="J37" s="24">
        <v>0</v>
      </c>
      <c r="K37" s="24">
        <v>0</v>
      </c>
      <c r="L37" s="23">
        <v>0</v>
      </c>
      <c r="M37" s="24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4">
        <v>0</v>
      </c>
      <c r="T37" s="23">
        <v>0</v>
      </c>
      <c r="U37" s="23">
        <v>0</v>
      </c>
      <c r="V37" s="23">
        <v>0</v>
      </c>
      <c r="W37" s="24">
        <v>0</v>
      </c>
      <c r="X37" s="23">
        <v>0</v>
      </c>
      <c r="Y37" s="24">
        <v>0</v>
      </c>
      <c r="Z37" s="25">
        <v>0</v>
      </c>
      <c r="AA37" s="38"/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</row>
    <row r="38" spans="1:33" ht="25.5" customHeight="1" thickBot="1" x14ac:dyDescent="0.3">
      <c r="A38" s="28" t="s">
        <v>97</v>
      </c>
      <c r="B38" s="29" t="s">
        <v>101</v>
      </c>
      <c r="C38" s="30" t="s">
        <v>99</v>
      </c>
      <c r="D38" s="30" t="s">
        <v>100</v>
      </c>
      <c r="E38" s="31">
        <v>0</v>
      </c>
      <c r="F38" s="31">
        <v>4</v>
      </c>
      <c r="G38" s="31">
        <v>1</v>
      </c>
      <c r="H38" s="31">
        <v>0</v>
      </c>
      <c r="I38" s="32">
        <v>0</v>
      </c>
      <c r="J38" s="32">
        <v>0</v>
      </c>
      <c r="K38" s="24">
        <v>0</v>
      </c>
      <c r="L38" s="31">
        <v>0</v>
      </c>
      <c r="M38" s="32">
        <v>0</v>
      </c>
      <c r="N38" s="31">
        <v>1</v>
      </c>
      <c r="O38" s="31">
        <v>0</v>
      </c>
      <c r="P38" s="31">
        <v>0</v>
      </c>
      <c r="Q38" s="31">
        <v>0</v>
      </c>
      <c r="R38" s="31">
        <v>0</v>
      </c>
      <c r="S38" s="32">
        <v>0</v>
      </c>
      <c r="T38" s="31">
        <v>0</v>
      </c>
      <c r="U38" s="31">
        <v>0</v>
      </c>
      <c r="V38" s="31">
        <v>0</v>
      </c>
      <c r="W38" s="32">
        <v>0</v>
      </c>
      <c r="X38" s="31">
        <v>0</v>
      </c>
      <c r="Y38" s="32">
        <v>0</v>
      </c>
      <c r="Z38" s="33">
        <v>0</v>
      </c>
      <c r="AA38" s="3"/>
      <c r="AB38" s="26">
        <v>60</v>
      </c>
      <c r="AC38" s="26">
        <v>6</v>
      </c>
      <c r="AD38" s="26">
        <v>2</v>
      </c>
      <c r="AE38" s="26">
        <v>2</v>
      </c>
      <c r="AF38" s="26">
        <v>1</v>
      </c>
      <c r="AG38" s="26">
        <v>5</v>
      </c>
    </row>
    <row r="39" spans="1:33" ht="25.5" customHeight="1" thickBot="1" x14ac:dyDescent="0.3">
      <c r="A39" s="28" t="s">
        <v>97</v>
      </c>
      <c r="B39" s="29" t="s">
        <v>101</v>
      </c>
      <c r="C39" s="30" t="s">
        <v>99</v>
      </c>
      <c r="D39" s="30" t="s">
        <v>100</v>
      </c>
      <c r="E39" s="31">
        <v>0</v>
      </c>
      <c r="F39" s="31">
        <v>2</v>
      </c>
      <c r="G39" s="31">
        <v>0</v>
      </c>
      <c r="H39" s="31">
        <v>0</v>
      </c>
      <c r="I39" s="32">
        <v>0</v>
      </c>
      <c r="J39" s="32">
        <v>0</v>
      </c>
      <c r="K39" s="24">
        <v>0</v>
      </c>
      <c r="L39" s="31">
        <v>0</v>
      </c>
      <c r="M39" s="32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2">
        <v>0</v>
      </c>
      <c r="T39" s="31">
        <v>0</v>
      </c>
      <c r="U39" s="31">
        <v>0</v>
      </c>
      <c r="V39" s="31">
        <v>0</v>
      </c>
      <c r="W39" s="32">
        <v>0</v>
      </c>
      <c r="X39" s="31">
        <v>0</v>
      </c>
      <c r="Y39" s="32">
        <v>0</v>
      </c>
      <c r="Z39" s="33">
        <v>0</v>
      </c>
      <c r="AA39" s="3"/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</row>
    <row r="40" spans="1:33" ht="40.5" customHeight="1" thickBot="1" x14ac:dyDescent="0.3">
      <c r="A40" s="28" t="s">
        <v>97</v>
      </c>
      <c r="B40" s="29" t="s">
        <v>102</v>
      </c>
      <c r="C40" s="30" t="s">
        <v>103</v>
      </c>
      <c r="D40" s="30" t="s">
        <v>104</v>
      </c>
      <c r="E40" s="31">
        <v>0</v>
      </c>
      <c r="F40" s="31">
        <v>1</v>
      </c>
      <c r="G40" s="31">
        <v>0</v>
      </c>
      <c r="H40" s="31">
        <v>0</v>
      </c>
      <c r="I40" s="32">
        <v>0</v>
      </c>
      <c r="J40" s="32">
        <v>0</v>
      </c>
      <c r="K40" s="24">
        <v>0</v>
      </c>
      <c r="L40" s="31">
        <v>0</v>
      </c>
      <c r="M40" s="32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2">
        <v>0</v>
      </c>
      <c r="T40" s="31">
        <v>0</v>
      </c>
      <c r="U40" s="31">
        <v>0</v>
      </c>
      <c r="V40" s="31">
        <v>0</v>
      </c>
      <c r="W40" s="32">
        <v>0</v>
      </c>
      <c r="X40" s="31">
        <v>0</v>
      </c>
      <c r="Y40" s="32">
        <v>0</v>
      </c>
      <c r="Z40" s="33">
        <v>0</v>
      </c>
      <c r="AA40" s="3"/>
      <c r="AB40" s="26">
        <v>6</v>
      </c>
      <c r="AC40" s="26">
        <v>0</v>
      </c>
      <c r="AD40" s="26">
        <v>1</v>
      </c>
      <c r="AE40" s="26">
        <v>1</v>
      </c>
      <c r="AF40" s="26">
        <v>0</v>
      </c>
      <c r="AG40" s="26">
        <v>0</v>
      </c>
    </row>
    <row r="41" spans="1:33" ht="27.75" thickBot="1" x14ac:dyDescent="0.3">
      <c r="A41" s="28" t="s">
        <v>97</v>
      </c>
      <c r="B41" s="29" t="s">
        <v>105</v>
      </c>
      <c r="C41" s="30" t="s">
        <v>106</v>
      </c>
      <c r="D41" s="30" t="s">
        <v>107</v>
      </c>
      <c r="E41" s="31">
        <v>0</v>
      </c>
      <c r="F41" s="31">
        <v>1</v>
      </c>
      <c r="G41" s="31">
        <v>0</v>
      </c>
      <c r="H41" s="31">
        <v>0</v>
      </c>
      <c r="I41" s="32">
        <v>0</v>
      </c>
      <c r="J41" s="32">
        <v>0</v>
      </c>
      <c r="K41" s="24">
        <v>0</v>
      </c>
      <c r="L41" s="31">
        <v>0</v>
      </c>
      <c r="M41" s="32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2">
        <v>0</v>
      </c>
      <c r="T41" s="31">
        <v>0</v>
      </c>
      <c r="U41" s="31">
        <v>0</v>
      </c>
      <c r="V41" s="31">
        <v>0</v>
      </c>
      <c r="W41" s="32">
        <v>0</v>
      </c>
      <c r="X41" s="31">
        <v>0</v>
      </c>
      <c r="Y41" s="32">
        <v>0</v>
      </c>
      <c r="Z41" s="33">
        <v>0</v>
      </c>
      <c r="AA41" s="3"/>
      <c r="AB41" s="61">
        <v>11</v>
      </c>
      <c r="AC41" s="61">
        <v>1</v>
      </c>
      <c r="AD41" s="61">
        <v>1</v>
      </c>
      <c r="AE41" s="61">
        <v>1</v>
      </c>
      <c r="AF41" s="61">
        <v>0</v>
      </c>
      <c r="AG41" s="61">
        <v>2</v>
      </c>
    </row>
    <row r="42" spans="1:33" ht="27.75" thickBot="1" x14ac:dyDescent="0.3">
      <c r="A42" s="28" t="s">
        <v>97</v>
      </c>
      <c r="B42" s="29" t="s">
        <v>108</v>
      </c>
      <c r="C42" s="30" t="s">
        <v>109</v>
      </c>
      <c r="D42" s="30" t="s">
        <v>110</v>
      </c>
      <c r="E42" s="31">
        <v>0</v>
      </c>
      <c r="F42" s="31">
        <v>1</v>
      </c>
      <c r="G42" s="31">
        <v>0</v>
      </c>
      <c r="H42" s="31">
        <v>0</v>
      </c>
      <c r="I42" s="32">
        <v>0</v>
      </c>
      <c r="J42" s="32">
        <v>0</v>
      </c>
      <c r="K42" s="24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2">
        <v>0</v>
      </c>
      <c r="T42" s="31">
        <v>0</v>
      </c>
      <c r="U42" s="31">
        <v>0</v>
      </c>
      <c r="V42" s="31">
        <v>0</v>
      </c>
      <c r="W42" s="32">
        <v>0</v>
      </c>
      <c r="X42" s="31">
        <v>0</v>
      </c>
      <c r="Y42" s="32">
        <v>0</v>
      </c>
      <c r="Z42" s="33">
        <v>0</v>
      </c>
      <c r="AA42" s="3"/>
      <c r="AB42" s="26">
        <v>11</v>
      </c>
      <c r="AC42" s="26">
        <v>1</v>
      </c>
      <c r="AD42" s="26">
        <v>1</v>
      </c>
      <c r="AE42" s="26">
        <v>1</v>
      </c>
      <c r="AF42" s="26">
        <v>1</v>
      </c>
      <c r="AG42" s="26">
        <v>0</v>
      </c>
    </row>
    <row r="43" spans="1:33" ht="15.75" thickBot="1" x14ac:dyDescent="0.3">
      <c r="A43" s="28" t="s">
        <v>97</v>
      </c>
      <c r="B43" s="29" t="s">
        <v>111</v>
      </c>
      <c r="C43" s="30" t="s">
        <v>112</v>
      </c>
      <c r="D43" s="30" t="s">
        <v>104</v>
      </c>
      <c r="E43" s="31">
        <v>0</v>
      </c>
      <c r="F43" s="31">
        <v>4</v>
      </c>
      <c r="G43" s="31">
        <v>1</v>
      </c>
      <c r="H43" s="31">
        <v>0</v>
      </c>
      <c r="I43" s="32">
        <v>0</v>
      </c>
      <c r="J43" s="32">
        <v>0</v>
      </c>
      <c r="K43" s="24">
        <v>0</v>
      </c>
      <c r="L43" s="31">
        <v>0</v>
      </c>
      <c r="M43" s="32">
        <v>0</v>
      </c>
      <c r="N43" s="31">
        <v>1</v>
      </c>
      <c r="O43" s="31">
        <v>0</v>
      </c>
      <c r="P43" s="31">
        <v>0</v>
      </c>
      <c r="Q43" s="31">
        <v>0</v>
      </c>
      <c r="R43" s="31">
        <v>0</v>
      </c>
      <c r="S43" s="32">
        <v>0</v>
      </c>
      <c r="T43" s="31">
        <v>0</v>
      </c>
      <c r="U43" s="31">
        <v>0</v>
      </c>
      <c r="V43" s="31">
        <v>0</v>
      </c>
      <c r="W43" s="32">
        <v>0</v>
      </c>
      <c r="X43" s="31">
        <v>0</v>
      </c>
      <c r="Y43" s="32">
        <v>0</v>
      </c>
      <c r="Z43" s="33">
        <v>0</v>
      </c>
      <c r="AA43" s="3"/>
      <c r="AB43" s="26">
        <f>23-13</f>
        <v>10</v>
      </c>
      <c r="AC43" s="26">
        <f>2-1</f>
        <v>1</v>
      </c>
      <c r="AD43" s="26">
        <v>1</v>
      </c>
      <c r="AE43" s="26">
        <v>1</v>
      </c>
      <c r="AF43" s="26">
        <v>1</v>
      </c>
      <c r="AG43" s="26">
        <f>5-1</f>
        <v>4</v>
      </c>
    </row>
    <row r="44" spans="1:33" ht="15.75" thickBot="1" x14ac:dyDescent="0.3">
      <c r="A44" s="28" t="s">
        <v>97</v>
      </c>
      <c r="B44" s="29" t="s">
        <v>113</v>
      </c>
      <c r="C44" s="30" t="s">
        <v>114</v>
      </c>
      <c r="D44" s="30" t="s">
        <v>104</v>
      </c>
      <c r="E44" s="31">
        <v>0</v>
      </c>
      <c r="F44" s="31">
        <v>3</v>
      </c>
      <c r="G44" s="31">
        <v>1</v>
      </c>
      <c r="H44" s="31">
        <v>0</v>
      </c>
      <c r="I44" s="32">
        <v>0</v>
      </c>
      <c r="J44" s="32">
        <v>0</v>
      </c>
      <c r="K44" s="24">
        <v>0</v>
      </c>
      <c r="L44" s="31">
        <v>0</v>
      </c>
      <c r="M44" s="32">
        <v>0</v>
      </c>
      <c r="N44" s="31">
        <v>1</v>
      </c>
      <c r="O44" s="31">
        <v>0</v>
      </c>
      <c r="P44" s="31">
        <v>0</v>
      </c>
      <c r="Q44" s="31">
        <v>0</v>
      </c>
      <c r="R44" s="31">
        <v>1</v>
      </c>
      <c r="S44" s="32">
        <v>0</v>
      </c>
      <c r="T44" s="31">
        <v>0</v>
      </c>
      <c r="U44" s="31">
        <v>0</v>
      </c>
      <c r="V44" s="31">
        <v>0</v>
      </c>
      <c r="W44" s="32">
        <v>0</v>
      </c>
      <c r="X44" s="31">
        <v>0</v>
      </c>
      <c r="Y44" s="32">
        <v>0</v>
      </c>
      <c r="Z44" s="33">
        <v>0</v>
      </c>
      <c r="AA44" s="3"/>
      <c r="AB44" s="26">
        <f>28</f>
        <v>28</v>
      </c>
      <c r="AC44" s="26">
        <v>4</v>
      </c>
      <c r="AD44" s="26">
        <v>1</v>
      </c>
      <c r="AE44" s="26">
        <v>1</v>
      </c>
      <c r="AF44" s="26">
        <v>1</v>
      </c>
      <c r="AG44" s="26">
        <v>5</v>
      </c>
    </row>
    <row r="45" spans="1:33" ht="27.75" thickBot="1" x14ac:dyDescent="0.3">
      <c r="A45" s="28" t="s">
        <v>97</v>
      </c>
      <c r="B45" s="29" t="s">
        <v>115</v>
      </c>
      <c r="C45" s="30" t="s">
        <v>116</v>
      </c>
      <c r="D45" s="30" t="s">
        <v>104</v>
      </c>
      <c r="E45" s="31">
        <v>0</v>
      </c>
      <c r="F45" s="31">
        <v>1</v>
      </c>
      <c r="G45" s="31">
        <v>0</v>
      </c>
      <c r="H45" s="31">
        <v>0</v>
      </c>
      <c r="I45" s="32">
        <v>0</v>
      </c>
      <c r="J45" s="32">
        <v>0</v>
      </c>
      <c r="K45" s="24">
        <v>0</v>
      </c>
      <c r="L45" s="31">
        <v>0</v>
      </c>
      <c r="M45" s="32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2">
        <v>0</v>
      </c>
      <c r="T45" s="31">
        <v>0</v>
      </c>
      <c r="U45" s="31">
        <v>0</v>
      </c>
      <c r="V45" s="31">
        <v>0</v>
      </c>
      <c r="W45" s="32">
        <v>0</v>
      </c>
      <c r="X45" s="31">
        <v>0</v>
      </c>
      <c r="Y45" s="32">
        <v>0</v>
      </c>
      <c r="Z45" s="33">
        <v>0</v>
      </c>
      <c r="AA45" s="3"/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</row>
    <row r="46" spans="1:33" ht="15.75" thickBot="1" x14ac:dyDescent="0.3">
      <c r="A46" s="28" t="s">
        <v>97</v>
      </c>
      <c r="B46" s="29" t="s">
        <v>117</v>
      </c>
      <c r="C46" s="30" t="s">
        <v>118</v>
      </c>
      <c r="D46" s="30" t="s">
        <v>104</v>
      </c>
      <c r="E46" s="31">
        <v>0</v>
      </c>
      <c r="F46" s="31">
        <v>0</v>
      </c>
      <c r="G46" s="31">
        <v>0</v>
      </c>
      <c r="H46" s="31">
        <v>0</v>
      </c>
      <c r="I46" s="32">
        <v>0</v>
      </c>
      <c r="J46" s="32">
        <v>0</v>
      </c>
      <c r="K46" s="24">
        <v>0</v>
      </c>
      <c r="L46" s="31">
        <v>0</v>
      </c>
      <c r="M46" s="32">
        <v>0</v>
      </c>
      <c r="N46" s="31">
        <v>0</v>
      </c>
      <c r="O46" s="31">
        <v>1</v>
      </c>
      <c r="P46" s="31">
        <v>0</v>
      </c>
      <c r="Q46" s="31">
        <v>0</v>
      </c>
      <c r="R46" s="31">
        <v>0</v>
      </c>
      <c r="S46" s="32">
        <v>0</v>
      </c>
      <c r="T46" s="31">
        <v>1</v>
      </c>
      <c r="U46" s="31">
        <v>0</v>
      </c>
      <c r="V46" s="31">
        <v>0</v>
      </c>
      <c r="W46" s="32">
        <v>0</v>
      </c>
      <c r="X46" s="31">
        <v>0</v>
      </c>
      <c r="Y46" s="32">
        <v>0</v>
      </c>
      <c r="Z46" s="33">
        <v>0</v>
      </c>
      <c r="AA46" s="38">
        <f>AA51*7.5</f>
        <v>2044334340.4236598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</row>
    <row r="47" spans="1:33" ht="27.75" thickBot="1" x14ac:dyDescent="0.3">
      <c r="A47" s="62" t="s">
        <v>97</v>
      </c>
      <c r="B47" s="63" t="s">
        <v>119</v>
      </c>
      <c r="C47" s="64" t="s">
        <v>120</v>
      </c>
      <c r="D47" s="64" t="s">
        <v>104</v>
      </c>
      <c r="E47" s="65">
        <v>0</v>
      </c>
      <c r="F47" s="65">
        <v>1</v>
      </c>
      <c r="G47" s="65">
        <v>0</v>
      </c>
      <c r="H47" s="65">
        <v>0</v>
      </c>
      <c r="I47" s="66">
        <v>0</v>
      </c>
      <c r="J47" s="66">
        <v>0</v>
      </c>
      <c r="K47" s="24">
        <v>0</v>
      </c>
      <c r="L47" s="65">
        <v>0</v>
      </c>
      <c r="M47" s="66">
        <v>0</v>
      </c>
      <c r="N47" s="65">
        <v>0</v>
      </c>
      <c r="O47" s="65">
        <v>1</v>
      </c>
      <c r="P47" s="65">
        <v>0</v>
      </c>
      <c r="Q47" s="65">
        <v>0</v>
      </c>
      <c r="R47" s="65">
        <v>0</v>
      </c>
      <c r="S47" s="66">
        <v>0</v>
      </c>
      <c r="T47" s="65">
        <v>1</v>
      </c>
      <c r="U47" s="65">
        <v>0</v>
      </c>
      <c r="V47" s="65">
        <v>0</v>
      </c>
      <c r="W47" s="66">
        <v>0</v>
      </c>
      <c r="X47" s="65">
        <v>0</v>
      </c>
      <c r="Y47" s="66">
        <v>0</v>
      </c>
      <c r="Z47" s="67">
        <v>0</v>
      </c>
      <c r="AA47" s="3"/>
      <c r="AB47" s="26">
        <f>6</f>
        <v>6</v>
      </c>
      <c r="AC47" s="26">
        <v>1</v>
      </c>
      <c r="AD47" s="26">
        <v>1</v>
      </c>
      <c r="AE47" s="26">
        <v>1</v>
      </c>
      <c r="AF47" s="26">
        <v>0</v>
      </c>
      <c r="AG47" s="26">
        <v>0</v>
      </c>
    </row>
    <row r="48" spans="1:33" ht="15.75" thickBot="1" x14ac:dyDescent="0.3">
      <c r="A48" s="202" t="s">
        <v>94</v>
      </c>
      <c r="B48" s="203"/>
      <c r="C48" s="203"/>
      <c r="D48" s="204"/>
      <c r="E48" s="39">
        <f>SUM(E37:E47)</f>
        <v>0</v>
      </c>
      <c r="F48" s="40">
        <f>SUM(F37:F47)</f>
        <v>19</v>
      </c>
      <c r="G48" s="40">
        <f t="shared" ref="G48:AG48" si="9">SUM(G37:G47)</f>
        <v>3</v>
      </c>
      <c r="H48" s="40">
        <f t="shared" si="9"/>
        <v>0</v>
      </c>
      <c r="I48" s="41">
        <f t="shared" si="9"/>
        <v>0</v>
      </c>
      <c r="J48" s="41">
        <f t="shared" si="9"/>
        <v>0</v>
      </c>
      <c r="K48" s="41">
        <f t="shared" si="9"/>
        <v>0</v>
      </c>
      <c r="L48" s="40">
        <f t="shared" si="9"/>
        <v>0</v>
      </c>
      <c r="M48" s="41">
        <f t="shared" si="9"/>
        <v>0</v>
      </c>
      <c r="N48" s="40">
        <f t="shared" si="9"/>
        <v>3</v>
      </c>
      <c r="O48" s="40">
        <f t="shared" si="9"/>
        <v>2</v>
      </c>
      <c r="P48" s="40">
        <f t="shared" si="9"/>
        <v>0</v>
      </c>
      <c r="Q48" s="40">
        <f t="shared" si="9"/>
        <v>0</v>
      </c>
      <c r="R48" s="40">
        <f t="shared" si="9"/>
        <v>1</v>
      </c>
      <c r="S48" s="41">
        <f t="shared" si="9"/>
        <v>0</v>
      </c>
      <c r="T48" s="40">
        <f t="shared" si="9"/>
        <v>2</v>
      </c>
      <c r="U48" s="40">
        <f t="shared" si="9"/>
        <v>0</v>
      </c>
      <c r="V48" s="40">
        <f t="shared" si="9"/>
        <v>0</v>
      </c>
      <c r="W48" s="41">
        <f t="shared" si="9"/>
        <v>0</v>
      </c>
      <c r="X48" s="40">
        <f t="shared" si="9"/>
        <v>0</v>
      </c>
      <c r="Y48" s="41">
        <f t="shared" si="9"/>
        <v>0</v>
      </c>
      <c r="Z48" s="42">
        <f t="shared" si="9"/>
        <v>0</v>
      </c>
      <c r="AA48" s="43">
        <f>SUM(E48:Z48)</f>
        <v>30</v>
      </c>
      <c r="AB48" s="44">
        <f t="shared" si="9"/>
        <v>132</v>
      </c>
      <c r="AC48" s="44">
        <f t="shared" si="9"/>
        <v>14</v>
      </c>
      <c r="AD48" s="44">
        <f t="shared" si="9"/>
        <v>8</v>
      </c>
      <c r="AE48" s="44">
        <f t="shared" si="9"/>
        <v>8</v>
      </c>
      <c r="AF48" s="44">
        <f t="shared" si="9"/>
        <v>4</v>
      </c>
      <c r="AG48" s="44">
        <f t="shared" si="9"/>
        <v>16</v>
      </c>
    </row>
    <row r="49" spans="1:33" s="75" customFormat="1" ht="15.75" thickBot="1" x14ac:dyDescent="0.3">
      <c r="A49" s="68"/>
      <c r="B49" s="69"/>
      <c r="C49" s="69"/>
      <c r="D49" s="69"/>
      <c r="E49" s="70"/>
      <c r="F49" s="70"/>
      <c r="G49" s="70"/>
      <c r="H49" s="70"/>
      <c r="I49" s="71"/>
      <c r="J49" s="71"/>
      <c r="K49" s="71"/>
      <c r="L49" s="70"/>
      <c r="M49" s="71"/>
      <c r="N49" s="70"/>
      <c r="O49" s="70"/>
      <c r="P49" s="70"/>
      <c r="Q49" s="70"/>
      <c r="R49" s="70"/>
      <c r="S49" s="71"/>
      <c r="T49" s="70"/>
      <c r="U49" s="70"/>
      <c r="V49" s="70"/>
      <c r="W49" s="71"/>
      <c r="X49" s="70"/>
      <c r="Y49" s="71"/>
      <c r="Z49" s="72"/>
      <c r="AA49" s="73">
        <f>SUM(E49:Z49)</f>
        <v>0</v>
      </c>
      <c r="AB49" s="74"/>
      <c r="AC49" s="74"/>
      <c r="AD49" s="74"/>
      <c r="AE49" s="74"/>
      <c r="AF49" s="74"/>
      <c r="AG49" s="74"/>
    </row>
    <row r="50" spans="1:33" ht="15.75" thickBot="1" x14ac:dyDescent="0.3">
      <c r="A50" s="45"/>
      <c r="B50" s="199" t="s">
        <v>95</v>
      </c>
      <c r="C50" s="199"/>
      <c r="D50" s="46"/>
      <c r="E50" s="47"/>
      <c r="F50" s="47"/>
      <c r="G50" s="47"/>
      <c r="H50" s="47"/>
      <c r="I50" s="48"/>
      <c r="J50" s="48"/>
      <c r="K50" s="48"/>
      <c r="L50" s="47"/>
      <c r="M50" s="48"/>
      <c r="N50" s="47"/>
      <c r="O50" s="47"/>
      <c r="P50" s="47"/>
      <c r="Q50" s="47"/>
      <c r="R50" s="47"/>
      <c r="S50" s="48"/>
      <c r="T50" s="47"/>
      <c r="U50" s="47"/>
      <c r="V50" s="47"/>
      <c r="W50" s="48"/>
      <c r="X50" s="47"/>
      <c r="Y50" s="48"/>
      <c r="Z50" s="49"/>
      <c r="AA50" s="53">
        <f>SUM(E50:Z50)</f>
        <v>0</v>
      </c>
      <c r="AB50" s="74"/>
      <c r="AC50" s="74"/>
      <c r="AD50" s="74"/>
      <c r="AE50" s="74"/>
      <c r="AF50" s="74"/>
      <c r="AG50" s="74"/>
    </row>
    <row r="51" spans="1:33" ht="15.75" thickBot="1" x14ac:dyDescent="0.3">
      <c r="A51" s="205" t="s">
        <v>96</v>
      </c>
      <c r="B51" s="206"/>
      <c r="C51" s="206"/>
      <c r="D51" s="206"/>
      <c r="E51" s="54">
        <f t="shared" ref="E51:J51" si="10">E48*E5</f>
        <v>0</v>
      </c>
      <c r="F51" s="54">
        <f t="shared" si="10"/>
        <v>199392043.94383681</v>
      </c>
      <c r="G51" s="54">
        <f t="shared" si="10"/>
        <v>31482954.306921601</v>
      </c>
      <c r="H51" s="54">
        <f t="shared" si="10"/>
        <v>0</v>
      </c>
      <c r="I51" s="55">
        <f t="shared" si="10"/>
        <v>0</v>
      </c>
      <c r="J51" s="55">
        <f t="shared" si="10"/>
        <v>0</v>
      </c>
      <c r="K51" s="55"/>
      <c r="L51" s="54">
        <f>L48*L5</f>
        <v>0</v>
      </c>
      <c r="M51" s="55">
        <f>M48*M5</f>
        <v>0</v>
      </c>
      <c r="N51" s="54">
        <f t="shared" ref="N51:Z51" si="11">N48*N5</f>
        <v>14612097.719868865</v>
      </c>
      <c r="O51" s="54">
        <f t="shared" si="11"/>
        <v>9220146.4336393774</v>
      </c>
      <c r="P51" s="54">
        <f t="shared" si="11"/>
        <v>0</v>
      </c>
      <c r="Q51" s="54">
        <f t="shared" si="11"/>
        <v>0</v>
      </c>
      <c r="R51" s="54">
        <f t="shared" si="11"/>
        <v>5884244.8854875118</v>
      </c>
      <c r="S51" s="55">
        <f t="shared" si="11"/>
        <v>0</v>
      </c>
      <c r="T51" s="54">
        <f t="shared" si="11"/>
        <v>11986424.76673382</v>
      </c>
      <c r="U51" s="54">
        <f t="shared" si="11"/>
        <v>0</v>
      </c>
      <c r="V51" s="54">
        <f t="shared" si="11"/>
        <v>0</v>
      </c>
      <c r="W51" s="55">
        <f t="shared" si="11"/>
        <v>0</v>
      </c>
      <c r="X51" s="54">
        <f t="shared" si="11"/>
        <v>0</v>
      </c>
      <c r="Y51" s="55">
        <f t="shared" si="11"/>
        <v>0</v>
      </c>
      <c r="Z51" s="56">
        <f t="shared" si="11"/>
        <v>0</v>
      </c>
      <c r="AA51" s="57">
        <f>SUM(E51:Z51)</f>
        <v>272577912.05648798</v>
      </c>
      <c r="AB51" s="77">
        <f t="shared" ref="AB51:AG51" si="12">AB48*AB5</f>
        <v>2126542.058666667</v>
      </c>
      <c r="AC51" s="77">
        <f t="shared" si="12"/>
        <v>876677.33688888908</v>
      </c>
      <c r="AD51" s="77">
        <f t="shared" si="12"/>
        <v>641744.46933333331</v>
      </c>
      <c r="AE51" s="77">
        <f t="shared" si="12"/>
        <v>465980.7288888889</v>
      </c>
      <c r="AF51" s="77">
        <f t="shared" si="12"/>
        <v>734708.75022222218</v>
      </c>
      <c r="AG51" s="77">
        <f t="shared" si="12"/>
        <v>988942.67733333341</v>
      </c>
    </row>
    <row r="52" spans="1:33" ht="15.75" thickBot="1" x14ac:dyDescent="0.3">
      <c r="A52" s="20" t="s">
        <v>121</v>
      </c>
      <c r="B52" s="21" t="s">
        <v>98</v>
      </c>
      <c r="C52" s="22" t="s">
        <v>122</v>
      </c>
      <c r="D52" s="22" t="s">
        <v>123</v>
      </c>
      <c r="E52" s="23">
        <v>0</v>
      </c>
      <c r="F52" s="23">
        <v>2</v>
      </c>
      <c r="G52" s="23">
        <v>0</v>
      </c>
      <c r="H52" s="23">
        <v>0</v>
      </c>
      <c r="I52" s="24">
        <v>0</v>
      </c>
      <c r="J52" s="24">
        <v>0</v>
      </c>
      <c r="K52" s="24">
        <v>0</v>
      </c>
      <c r="L52" s="23">
        <v>0</v>
      </c>
      <c r="M52" s="24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4">
        <v>0</v>
      </c>
      <c r="T52" s="23">
        <v>0</v>
      </c>
      <c r="U52" s="23">
        <v>0</v>
      </c>
      <c r="V52" s="23">
        <v>0</v>
      </c>
      <c r="W52" s="24">
        <v>0</v>
      </c>
      <c r="X52" s="23">
        <v>0</v>
      </c>
      <c r="Y52" s="24">
        <v>0</v>
      </c>
      <c r="Z52" s="25">
        <v>0</v>
      </c>
      <c r="AA52" s="3"/>
      <c r="AB52" s="26">
        <v>2</v>
      </c>
      <c r="AC52" s="26">
        <v>0</v>
      </c>
      <c r="AD52" s="26">
        <v>0</v>
      </c>
      <c r="AE52" s="26">
        <v>1</v>
      </c>
      <c r="AF52" s="26">
        <v>1</v>
      </c>
      <c r="AG52" s="26">
        <v>0</v>
      </c>
    </row>
    <row r="53" spans="1:33" ht="15.75" thickBot="1" x14ac:dyDescent="0.3">
      <c r="A53" s="28" t="s">
        <v>121</v>
      </c>
      <c r="B53" s="29" t="s">
        <v>124</v>
      </c>
      <c r="C53" s="30" t="s">
        <v>122</v>
      </c>
      <c r="D53" s="30" t="s">
        <v>123</v>
      </c>
      <c r="E53" s="31">
        <v>0</v>
      </c>
      <c r="F53" s="31">
        <v>6</v>
      </c>
      <c r="G53" s="31">
        <v>0</v>
      </c>
      <c r="H53" s="31">
        <v>0</v>
      </c>
      <c r="I53" s="32">
        <v>0</v>
      </c>
      <c r="J53" s="32">
        <v>0</v>
      </c>
      <c r="K53" s="24">
        <v>0</v>
      </c>
      <c r="L53" s="31">
        <v>0</v>
      </c>
      <c r="M53" s="32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2">
        <v>0</v>
      </c>
      <c r="T53" s="31">
        <v>0</v>
      </c>
      <c r="U53" s="31">
        <v>0</v>
      </c>
      <c r="V53" s="31">
        <v>0</v>
      </c>
      <c r="W53" s="32">
        <v>0</v>
      </c>
      <c r="X53" s="31">
        <v>0</v>
      </c>
      <c r="Y53" s="32">
        <v>0</v>
      </c>
      <c r="Z53" s="33">
        <v>0</v>
      </c>
      <c r="AA53" s="3"/>
      <c r="AB53" s="26">
        <v>17</v>
      </c>
      <c r="AC53" s="26">
        <v>0</v>
      </c>
      <c r="AD53" s="26">
        <v>0</v>
      </c>
      <c r="AE53" s="26">
        <v>0</v>
      </c>
      <c r="AF53" s="26">
        <v>0</v>
      </c>
      <c r="AG53" s="26">
        <v>1</v>
      </c>
    </row>
    <row r="54" spans="1:33" ht="15.75" thickBot="1" x14ac:dyDescent="0.3">
      <c r="A54" s="28" t="s">
        <v>121</v>
      </c>
      <c r="B54" s="29" t="s">
        <v>124</v>
      </c>
      <c r="C54" s="30" t="s">
        <v>125</v>
      </c>
      <c r="D54" s="30" t="s">
        <v>123</v>
      </c>
      <c r="E54" s="31">
        <v>0</v>
      </c>
      <c r="F54" s="31">
        <v>1</v>
      </c>
      <c r="G54" s="31">
        <v>0</v>
      </c>
      <c r="H54" s="31">
        <v>0</v>
      </c>
      <c r="I54" s="32">
        <v>0</v>
      </c>
      <c r="J54" s="32">
        <v>0</v>
      </c>
      <c r="K54" s="24">
        <v>0</v>
      </c>
      <c r="L54" s="31">
        <v>0</v>
      </c>
      <c r="M54" s="32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2">
        <v>0</v>
      </c>
      <c r="T54" s="31">
        <v>0</v>
      </c>
      <c r="U54" s="31">
        <v>0</v>
      </c>
      <c r="V54" s="31">
        <v>0</v>
      </c>
      <c r="W54" s="32">
        <v>0</v>
      </c>
      <c r="X54" s="31">
        <v>0</v>
      </c>
      <c r="Y54" s="32">
        <v>0</v>
      </c>
      <c r="Z54" s="33">
        <v>0</v>
      </c>
      <c r="AA54" s="3"/>
      <c r="AB54" s="26"/>
      <c r="AC54" s="26"/>
      <c r="AD54" s="26"/>
      <c r="AE54" s="26"/>
      <c r="AF54" s="26"/>
      <c r="AG54" s="26"/>
    </row>
    <row r="55" spans="1:33" ht="41.25" thickBot="1" x14ac:dyDescent="0.3">
      <c r="A55" s="28" t="s">
        <v>121</v>
      </c>
      <c r="B55" s="29" t="s">
        <v>126</v>
      </c>
      <c r="C55" s="30" t="s">
        <v>127</v>
      </c>
      <c r="D55" s="30" t="s">
        <v>123</v>
      </c>
      <c r="E55" s="31">
        <v>0</v>
      </c>
      <c r="F55" s="31">
        <v>3</v>
      </c>
      <c r="G55" s="31">
        <v>0</v>
      </c>
      <c r="H55" s="31">
        <v>0</v>
      </c>
      <c r="I55" s="32">
        <v>0</v>
      </c>
      <c r="J55" s="32">
        <v>0</v>
      </c>
      <c r="K55" s="24">
        <v>0</v>
      </c>
      <c r="L55" s="31">
        <v>0</v>
      </c>
      <c r="M55" s="32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2">
        <v>0</v>
      </c>
      <c r="T55" s="31">
        <v>0</v>
      </c>
      <c r="U55" s="31">
        <v>0</v>
      </c>
      <c r="V55" s="31">
        <v>0</v>
      </c>
      <c r="W55" s="32">
        <v>0</v>
      </c>
      <c r="X55" s="31">
        <v>0</v>
      </c>
      <c r="Y55" s="32">
        <v>0</v>
      </c>
      <c r="Z55" s="33">
        <v>0</v>
      </c>
      <c r="AA55" s="3"/>
      <c r="AB55" s="26">
        <v>16</v>
      </c>
      <c r="AC55" s="26">
        <v>0</v>
      </c>
      <c r="AD55" s="26">
        <v>1</v>
      </c>
      <c r="AE55" s="26">
        <v>1</v>
      </c>
      <c r="AF55" s="26">
        <v>0</v>
      </c>
      <c r="AG55" s="26">
        <v>2</v>
      </c>
    </row>
    <row r="56" spans="1:33" ht="15.75" thickBot="1" x14ac:dyDescent="0.3">
      <c r="A56" s="28" t="s">
        <v>121</v>
      </c>
      <c r="B56" s="30" t="s">
        <v>124</v>
      </c>
      <c r="C56" s="30" t="s">
        <v>128</v>
      </c>
      <c r="D56" s="30" t="s">
        <v>129</v>
      </c>
      <c r="E56" s="31">
        <v>0</v>
      </c>
      <c r="F56" s="31">
        <v>0</v>
      </c>
      <c r="G56" s="31">
        <v>0</v>
      </c>
      <c r="H56" s="31">
        <v>0</v>
      </c>
      <c r="I56" s="32">
        <v>0</v>
      </c>
      <c r="J56" s="32">
        <v>0</v>
      </c>
      <c r="K56" s="24">
        <v>0</v>
      </c>
      <c r="L56" s="31">
        <v>0</v>
      </c>
      <c r="M56" s="32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2">
        <v>0</v>
      </c>
      <c r="T56" s="31">
        <v>0</v>
      </c>
      <c r="U56" s="31">
        <v>0</v>
      </c>
      <c r="V56" s="31">
        <v>0</v>
      </c>
      <c r="W56" s="32">
        <v>0</v>
      </c>
      <c r="X56" s="31">
        <v>0</v>
      </c>
      <c r="Y56" s="32">
        <v>0</v>
      </c>
      <c r="Z56" s="33">
        <v>0</v>
      </c>
      <c r="AA56" s="3"/>
      <c r="AB56" s="26"/>
      <c r="AC56" s="26"/>
      <c r="AD56" s="26"/>
      <c r="AE56" s="26"/>
      <c r="AF56" s="26"/>
      <c r="AG56" s="26"/>
    </row>
    <row r="57" spans="1:33" ht="15.75" thickBot="1" x14ac:dyDescent="0.3">
      <c r="A57" s="28" t="s">
        <v>121</v>
      </c>
      <c r="B57" s="29" t="s">
        <v>124</v>
      </c>
      <c r="C57" s="30" t="s">
        <v>130</v>
      </c>
      <c r="D57" s="30" t="s">
        <v>129</v>
      </c>
      <c r="E57" s="31">
        <v>0</v>
      </c>
      <c r="F57" s="31">
        <v>5</v>
      </c>
      <c r="G57" s="31">
        <v>0</v>
      </c>
      <c r="H57" s="31">
        <v>0</v>
      </c>
      <c r="I57" s="32">
        <v>0</v>
      </c>
      <c r="J57" s="32">
        <v>0</v>
      </c>
      <c r="K57" s="24">
        <v>0</v>
      </c>
      <c r="L57" s="31">
        <v>0</v>
      </c>
      <c r="M57" s="32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2">
        <v>0</v>
      </c>
      <c r="T57" s="31">
        <v>0</v>
      </c>
      <c r="U57" s="31">
        <v>0</v>
      </c>
      <c r="V57" s="31">
        <v>0</v>
      </c>
      <c r="W57" s="32">
        <v>0</v>
      </c>
      <c r="X57" s="31">
        <v>0</v>
      </c>
      <c r="Y57" s="32">
        <v>0</v>
      </c>
      <c r="Z57" s="33">
        <v>0</v>
      </c>
      <c r="AA57" s="3"/>
      <c r="AB57" s="26">
        <v>15</v>
      </c>
      <c r="AC57" s="26">
        <v>2</v>
      </c>
      <c r="AD57" s="26">
        <v>1</v>
      </c>
      <c r="AE57" s="26">
        <v>0</v>
      </c>
      <c r="AF57" s="26">
        <v>0</v>
      </c>
      <c r="AG57" s="26">
        <v>0</v>
      </c>
    </row>
    <row r="58" spans="1:33" ht="15.75" thickBot="1" x14ac:dyDescent="0.3">
      <c r="A58" s="28" t="s">
        <v>121</v>
      </c>
      <c r="B58" s="29" t="s">
        <v>124</v>
      </c>
      <c r="C58" s="30" t="s">
        <v>131</v>
      </c>
      <c r="D58" s="30" t="s">
        <v>132</v>
      </c>
      <c r="E58" s="31">
        <v>0</v>
      </c>
      <c r="F58" s="31">
        <v>2</v>
      </c>
      <c r="G58" s="31">
        <v>0</v>
      </c>
      <c r="H58" s="31">
        <v>0</v>
      </c>
      <c r="I58" s="32">
        <v>0</v>
      </c>
      <c r="J58" s="32">
        <v>0</v>
      </c>
      <c r="K58" s="24">
        <v>0</v>
      </c>
      <c r="L58" s="31">
        <v>0</v>
      </c>
      <c r="M58" s="32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2">
        <v>0</v>
      </c>
      <c r="T58" s="31">
        <v>0</v>
      </c>
      <c r="U58" s="31">
        <v>0</v>
      </c>
      <c r="V58" s="31">
        <v>0</v>
      </c>
      <c r="W58" s="32">
        <v>0</v>
      </c>
      <c r="X58" s="31">
        <v>0</v>
      </c>
      <c r="Y58" s="32">
        <v>0</v>
      </c>
      <c r="Z58" s="33">
        <v>0</v>
      </c>
      <c r="AA58" s="3"/>
      <c r="AB58" s="26">
        <f>10-4</f>
        <v>6</v>
      </c>
      <c r="AC58" s="26">
        <v>2</v>
      </c>
      <c r="AD58" s="26">
        <v>1</v>
      </c>
      <c r="AE58" s="26">
        <v>1</v>
      </c>
      <c r="AF58" s="26">
        <v>0</v>
      </c>
      <c r="AG58" s="26">
        <v>0</v>
      </c>
    </row>
    <row r="59" spans="1:33" ht="54.75" thickBot="1" x14ac:dyDescent="0.3">
      <c r="A59" s="28" t="s">
        <v>121</v>
      </c>
      <c r="B59" s="29" t="s">
        <v>124</v>
      </c>
      <c r="C59" s="30" t="s">
        <v>133</v>
      </c>
      <c r="D59" s="30" t="s">
        <v>123</v>
      </c>
      <c r="E59" s="31">
        <v>0</v>
      </c>
      <c r="F59" s="31">
        <v>3</v>
      </c>
      <c r="G59" s="31">
        <v>0</v>
      </c>
      <c r="H59" s="31">
        <v>0</v>
      </c>
      <c r="I59" s="32">
        <v>0</v>
      </c>
      <c r="J59" s="32">
        <v>0</v>
      </c>
      <c r="K59" s="24">
        <v>0</v>
      </c>
      <c r="L59" s="31">
        <v>0</v>
      </c>
      <c r="M59" s="32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2">
        <v>0</v>
      </c>
      <c r="T59" s="31">
        <v>0</v>
      </c>
      <c r="U59" s="31">
        <v>0</v>
      </c>
      <c r="V59" s="31">
        <v>0</v>
      </c>
      <c r="W59" s="32">
        <v>0</v>
      </c>
      <c r="X59" s="31">
        <v>0</v>
      </c>
      <c r="Y59" s="32">
        <v>0</v>
      </c>
      <c r="Z59" s="33">
        <v>0</v>
      </c>
      <c r="AA59" s="3"/>
      <c r="AB59" s="26">
        <v>14</v>
      </c>
      <c r="AC59" s="26">
        <v>0</v>
      </c>
      <c r="AD59" s="26">
        <v>1</v>
      </c>
      <c r="AE59" s="26">
        <v>1</v>
      </c>
      <c r="AF59" s="26">
        <v>0</v>
      </c>
      <c r="AG59" s="26">
        <v>2</v>
      </c>
    </row>
    <row r="60" spans="1:33" ht="27.75" thickBot="1" x14ac:dyDescent="0.3">
      <c r="A60" s="28" t="s">
        <v>121</v>
      </c>
      <c r="B60" s="29" t="s">
        <v>134</v>
      </c>
      <c r="C60" s="30" t="s">
        <v>135</v>
      </c>
      <c r="D60" s="30" t="s">
        <v>123</v>
      </c>
      <c r="E60" s="31">
        <v>0</v>
      </c>
      <c r="F60" s="31">
        <v>1</v>
      </c>
      <c r="G60" s="31">
        <v>0</v>
      </c>
      <c r="H60" s="31">
        <v>0</v>
      </c>
      <c r="I60" s="32">
        <v>0</v>
      </c>
      <c r="J60" s="32">
        <v>0</v>
      </c>
      <c r="K60" s="24">
        <v>0</v>
      </c>
      <c r="L60" s="31">
        <v>0</v>
      </c>
      <c r="M60" s="32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2">
        <v>0</v>
      </c>
      <c r="T60" s="31">
        <v>0</v>
      </c>
      <c r="U60" s="31">
        <v>0</v>
      </c>
      <c r="V60" s="31">
        <v>0</v>
      </c>
      <c r="W60" s="32">
        <v>0</v>
      </c>
      <c r="X60" s="31">
        <v>0</v>
      </c>
      <c r="Y60" s="32">
        <v>0</v>
      </c>
      <c r="Z60" s="33">
        <v>0</v>
      </c>
      <c r="AA60" s="3"/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</row>
    <row r="61" spans="1:33" ht="15.75" thickBot="1" x14ac:dyDescent="0.3">
      <c r="A61" s="28" t="s">
        <v>121</v>
      </c>
      <c r="B61" s="29" t="s">
        <v>134</v>
      </c>
      <c r="C61" s="30" t="s">
        <v>136</v>
      </c>
      <c r="D61" s="30" t="s">
        <v>123</v>
      </c>
      <c r="E61" s="31">
        <v>2</v>
      </c>
      <c r="F61" s="31">
        <v>10</v>
      </c>
      <c r="G61" s="31">
        <v>0</v>
      </c>
      <c r="H61" s="31">
        <v>0</v>
      </c>
      <c r="I61" s="32">
        <v>0</v>
      </c>
      <c r="J61" s="32">
        <v>0</v>
      </c>
      <c r="K61" s="24">
        <v>0</v>
      </c>
      <c r="L61" s="31">
        <v>0</v>
      </c>
      <c r="M61" s="32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2">
        <v>0</v>
      </c>
      <c r="T61" s="31">
        <v>0</v>
      </c>
      <c r="U61" s="31">
        <v>0</v>
      </c>
      <c r="V61" s="31">
        <v>0</v>
      </c>
      <c r="W61" s="32">
        <v>0</v>
      </c>
      <c r="X61" s="31">
        <v>0</v>
      </c>
      <c r="Y61" s="32">
        <v>0</v>
      </c>
      <c r="Z61" s="33">
        <v>0</v>
      </c>
      <c r="AA61" s="3"/>
      <c r="AB61" s="26">
        <f>37-27</f>
        <v>10</v>
      </c>
      <c r="AC61" s="26">
        <f>2</f>
        <v>2</v>
      </c>
      <c r="AD61" s="26">
        <f>2</f>
        <v>2</v>
      </c>
      <c r="AE61" s="26">
        <f>2</f>
        <v>2</v>
      </c>
      <c r="AF61" s="26">
        <f>2</f>
        <v>2</v>
      </c>
      <c r="AG61" s="26">
        <f>1</f>
        <v>1</v>
      </c>
    </row>
    <row r="62" spans="1:33" ht="27.75" thickBot="1" x14ac:dyDescent="0.3">
      <c r="A62" s="28" t="s">
        <v>121</v>
      </c>
      <c r="B62" s="29" t="s">
        <v>137</v>
      </c>
      <c r="C62" s="30" t="s">
        <v>138</v>
      </c>
      <c r="D62" s="30" t="s">
        <v>139</v>
      </c>
      <c r="E62" s="31">
        <v>0</v>
      </c>
      <c r="F62" s="31">
        <v>2</v>
      </c>
      <c r="G62" s="31">
        <v>0</v>
      </c>
      <c r="H62" s="31">
        <v>0</v>
      </c>
      <c r="I62" s="32">
        <v>0</v>
      </c>
      <c r="J62" s="32">
        <v>0</v>
      </c>
      <c r="K62" s="24">
        <v>0</v>
      </c>
      <c r="L62" s="31">
        <v>0</v>
      </c>
      <c r="M62" s="32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2">
        <v>0</v>
      </c>
      <c r="T62" s="31">
        <v>0</v>
      </c>
      <c r="U62" s="31">
        <v>0</v>
      </c>
      <c r="V62" s="31">
        <v>0</v>
      </c>
      <c r="W62" s="32">
        <v>0</v>
      </c>
      <c r="X62" s="31">
        <v>0</v>
      </c>
      <c r="Y62" s="32">
        <v>0</v>
      </c>
      <c r="Z62" s="33">
        <v>0</v>
      </c>
      <c r="AA62" s="3"/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</row>
    <row r="63" spans="1:33" ht="15.75" thickBot="1" x14ac:dyDescent="0.3">
      <c r="A63" s="28" t="s">
        <v>121</v>
      </c>
      <c r="B63" s="29" t="s">
        <v>137</v>
      </c>
      <c r="C63" s="30" t="s">
        <v>140</v>
      </c>
      <c r="D63" s="30" t="s">
        <v>141</v>
      </c>
      <c r="E63" s="31">
        <v>0</v>
      </c>
      <c r="F63" s="31">
        <v>3</v>
      </c>
      <c r="G63" s="31">
        <v>0</v>
      </c>
      <c r="H63" s="31">
        <v>0</v>
      </c>
      <c r="I63" s="32">
        <v>0</v>
      </c>
      <c r="J63" s="32">
        <v>0</v>
      </c>
      <c r="K63" s="24">
        <v>0</v>
      </c>
      <c r="L63" s="31">
        <v>0</v>
      </c>
      <c r="M63" s="32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2">
        <v>0</v>
      </c>
      <c r="T63" s="31">
        <v>0</v>
      </c>
      <c r="U63" s="31">
        <v>0</v>
      </c>
      <c r="V63" s="31">
        <v>0</v>
      </c>
      <c r="W63" s="32">
        <v>0</v>
      </c>
      <c r="X63" s="31">
        <v>0</v>
      </c>
      <c r="Y63" s="32">
        <v>0</v>
      </c>
      <c r="Z63" s="33">
        <v>0</v>
      </c>
      <c r="AA63" s="3"/>
      <c r="AB63" s="26">
        <v>10</v>
      </c>
      <c r="AC63" s="26">
        <v>2</v>
      </c>
      <c r="AD63" s="26">
        <v>1</v>
      </c>
      <c r="AE63" s="26">
        <v>1</v>
      </c>
      <c r="AF63" s="26">
        <v>1</v>
      </c>
      <c r="AG63" s="26">
        <v>1</v>
      </c>
    </row>
    <row r="64" spans="1:33" ht="27.75" thickBot="1" x14ac:dyDescent="0.3">
      <c r="A64" s="28" t="s">
        <v>121</v>
      </c>
      <c r="B64" s="29" t="s">
        <v>137</v>
      </c>
      <c r="C64" s="30" t="s">
        <v>142</v>
      </c>
      <c r="D64" s="30" t="s">
        <v>143</v>
      </c>
      <c r="E64" s="31">
        <v>0</v>
      </c>
      <c r="F64" s="31">
        <v>3</v>
      </c>
      <c r="G64" s="31">
        <v>0</v>
      </c>
      <c r="H64" s="31">
        <v>0</v>
      </c>
      <c r="I64" s="32">
        <v>0</v>
      </c>
      <c r="J64" s="32">
        <v>0</v>
      </c>
      <c r="K64" s="24">
        <v>0</v>
      </c>
      <c r="L64" s="31">
        <v>0</v>
      </c>
      <c r="M64" s="32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2">
        <v>0</v>
      </c>
      <c r="T64" s="31">
        <v>0</v>
      </c>
      <c r="U64" s="31">
        <v>0</v>
      </c>
      <c r="V64" s="31">
        <v>0</v>
      </c>
      <c r="W64" s="32">
        <v>0</v>
      </c>
      <c r="X64" s="31">
        <v>0</v>
      </c>
      <c r="Y64" s="32">
        <v>0</v>
      </c>
      <c r="Z64" s="33">
        <v>0</v>
      </c>
      <c r="AA64" s="3"/>
      <c r="AB64" s="26">
        <v>12</v>
      </c>
      <c r="AC64" s="26">
        <v>2</v>
      </c>
      <c r="AD64" s="26">
        <v>1</v>
      </c>
      <c r="AE64" s="26">
        <v>1</v>
      </c>
      <c r="AF64" s="26">
        <v>1</v>
      </c>
      <c r="AG64" s="26">
        <v>1</v>
      </c>
    </row>
    <row r="65" spans="1:33" ht="54.75" thickBot="1" x14ac:dyDescent="0.3">
      <c r="A65" s="78" t="s">
        <v>121</v>
      </c>
      <c r="B65" s="29" t="s">
        <v>137</v>
      </c>
      <c r="C65" s="29" t="s">
        <v>144</v>
      </c>
      <c r="D65" s="29" t="s">
        <v>123</v>
      </c>
      <c r="E65" s="31">
        <v>0</v>
      </c>
      <c r="F65" s="31">
        <v>2</v>
      </c>
      <c r="G65" s="31">
        <v>0</v>
      </c>
      <c r="H65" s="31">
        <v>0</v>
      </c>
      <c r="I65" s="32"/>
      <c r="J65" s="32"/>
      <c r="K65" s="24"/>
      <c r="L65" s="31">
        <v>0</v>
      </c>
      <c r="M65" s="32"/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2"/>
      <c r="T65" s="31">
        <v>0</v>
      </c>
      <c r="U65" s="31">
        <v>0</v>
      </c>
      <c r="V65" s="31">
        <v>0</v>
      </c>
      <c r="W65" s="32"/>
      <c r="X65" s="31">
        <v>0</v>
      </c>
      <c r="Y65" s="32"/>
      <c r="Z65" s="33"/>
      <c r="AA65" s="3"/>
      <c r="AB65" s="26">
        <v>16</v>
      </c>
      <c r="AC65" s="26">
        <v>0</v>
      </c>
      <c r="AD65" s="26">
        <v>1</v>
      </c>
      <c r="AE65" s="26">
        <v>1</v>
      </c>
      <c r="AF65" s="26">
        <v>1</v>
      </c>
      <c r="AG65" s="26">
        <v>1</v>
      </c>
    </row>
    <row r="66" spans="1:33" ht="27.75" thickBot="1" x14ac:dyDescent="0.3">
      <c r="A66" s="28" t="s">
        <v>121</v>
      </c>
      <c r="B66" s="29" t="s">
        <v>145</v>
      </c>
      <c r="C66" s="30" t="s">
        <v>146</v>
      </c>
      <c r="D66" s="30" t="s">
        <v>147</v>
      </c>
      <c r="E66" s="31">
        <v>0</v>
      </c>
      <c r="F66" s="31">
        <v>3</v>
      </c>
      <c r="G66" s="31">
        <v>0</v>
      </c>
      <c r="H66" s="31">
        <v>0</v>
      </c>
      <c r="I66" s="32">
        <v>0</v>
      </c>
      <c r="J66" s="32">
        <v>0</v>
      </c>
      <c r="K66" s="24">
        <v>0</v>
      </c>
      <c r="L66" s="31">
        <v>0</v>
      </c>
      <c r="M66" s="32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2">
        <v>0</v>
      </c>
      <c r="T66" s="31">
        <v>0</v>
      </c>
      <c r="U66" s="31">
        <v>0</v>
      </c>
      <c r="V66" s="31">
        <v>0</v>
      </c>
      <c r="W66" s="32">
        <v>0</v>
      </c>
      <c r="X66" s="31">
        <v>0</v>
      </c>
      <c r="Y66" s="32">
        <v>0</v>
      </c>
      <c r="Z66" s="33">
        <v>0</v>
      </c>
      <c r="AA66" s="3"/>
      <c r="AB66" s="26">
        <v>12</v>
      </c>
      <c r="AC66" s="26">
        <v>0</v>
      </c>
      <c r="AD66" s="26">
        <v>1</v>
      </c>
      <c r="AE66" s="26">
        <v>1</v>
      </c>
      <c r="AF66" s="26">
        <v>1</v>
      </c>
      <c r="AG66" s="26">
        <v>1</v>
      </c>
    </row>
    <row r="67" spans="1:33" ht="15.75" thickBot="1" x14ac:dyDescent="0.3">
      <c r="A67" s="28" t="s">
        <v>121</v>
      </c>
      <c r="B67" s="29" t="s">
        <v>145</v>
      </c>
      <c r="C67" s="30" t="s">
        <v>148</v>
      </c>
      <c r="D67" s="30" t="s">
        <v>149</v>
      </c>
      <c r="E67" s="31">
        <v>0</v>
      </c>
      <c r="F67" s="31">
        <v>3</v>
      </c>
      <c r="G67" s="31">
        <v>0</v>
      </c>
      <c r="H67" s="31">
        <v>0</v>
      </c>
      <c r="I67" s="32">
        <v>0</v>
      </c>
      <c r="J67" s="32">
        <v>0</v>
      </c>
      <c r="K67" s="24">
        <v>0</v>
      </c>
      <c r="L67" s="31">
        <v>0</v>
      </c>
      <c r="M67" s="32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2">
        <v>0</v>
      </c>
      <c r="T67" s="31">
        <v>0</v>
      </c>
      <c r="U67" s="31">
        <v>0</v>
      </c>
      <c r="V67" s="31">
        <v>0</v>
      </c>
      <c r="W67" s="32">
        <v>0</v>
      </c>
      <c r="X67" s="31">
        <v>0</v>
      </c>
      <c r="Y67" s="32">
        <v>0</v>
      </c>
      <c r="Z67" s="33">
        <v>0</v>
      </c>
      <c r="AA67" s="3"/>
      <c r="AB67" s="26">
        <v>12</v>
      </c>
      <c r="AC67" s="26">
        <v>0</v>
      </c>
      <c r="AD67" s="26">
        <v>1</v>
      </c>
      <c r="AE67" s="26">
        <v>1</v>
      </c>
      <c r="AF67" s="26">
        <v>1</v>
      </c>
      <c r="AG67" s="26">
        <v>1</v>
      </c>
    </row>
    <row r="68" spans="1:33" ht="24.75" customHeight="1" thickBot="1" x14ac:dyDescent="0.3">
      <c r="A68" s="28" t="s">
        <v>121</v>
      </c>
      <c r="B68" s="29" t="s">
        <v>150</v>
      </c>
      <c r="C68" s="30" t="s">
        <v>151</v>
      </c>
      <c r="D68" s="30" t="s">
        <v>152</v>
      </c>
      <c r="E68" s="31">
        <v>0</v>
      </c>
      <c r="F68" s="31">
        <v>4</v>
      </c>
      <c r="G68" s="31">
        <v>0</v>
      </c>
      <c r="H68" s="31">
        <v>0</v>
      </c>
      <c r="I68" s="32">
        <v>0</v>
      </c>
      <c r="J68" s="32">
        <v>0</v>
      </c>
      <c r="K68" s="24">
        <v>0</v>
      </c>
      <c r="L68" s="31">
        <v>0</v>
      </c>
      <c r="M68" s="32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2">
        <v>0</v>
      </c>
      <c r="T68" s="31">
        <v>0</v>
      </c>
      <c r="U68" s="31">
        <v>0</v>
      </c>
      <c r="V68" s="31">
        <v>0</v>
      </c>
      <c r="W68" s="32">
        <v>0</v>
      </c>
      <c r="X68" s="31">
        <v>0</v>
      </c>
      <c r="Y68" s="32">
        <v>0</v>
      </c>
      <c r="Z68" s="33">
        <v>0</v>
      </c>
      <c r="AA68" s="38">
        <f>AA73*7.5</f>
        <v>4331821305.5634718</v>
      </c>
      <c r="AB68" s="26">
        <v>32</v>
      </c>
      <c r="AC68" s="26">
        <v>0</v>
      </c>
      <c r="AD68" s="26">
        <v>1</v>
      </c>
      <c r="AE68" s="26">
        <v>1</v>
      </c>
      <c r="AF68" s="26">
        <v>1</v>
      </c>
      <c r="AG68" s="26">
        <v>1</v>
      </c>
    </row>
    <row r="69" spans="1:33" ht="15.75" thickBot="1" x14ac:dyDescent="0.3">
      <c r="A69" s="79"/>
      <c r="B69" s="80"/>
      <c r="C69" s="80"/>
      <c r="D69" s="80"/>
      <c r="E69" s="81"/>
      <c r="F69" s="82"/>
      <c r="G69" s="82"/>
      <c r="H69" s="82"/>
      <c r="I69" s="83"/>
      <c r="J69" s="83"/>
      <c r="K69" s="84"/>
      <c r="L69" s="82"/>
      <c r="M69" s="83"/>
      <c r="N69" s="82"/>
      <c r="O69" s="82"/>
      <c r="P69" s="82"/>
      <c r="Q69" s="82"/>
      <c r="R69" s="82"/>
      <c r="S69" s="83"/>
      <c r="T69" s="82"/>
      <c r="U69" s="82"/>
      <c r="V69" s="82"/>
      <c r="W69" s="83"/>
      <c r="X69" s="82"/>
      <c r="Y69" s="83"/>
      <c r="Z69" s="85"/>
      <c r="AA69" s="3"/>
      <c r="AB69" s="86"/>
      <c r="AC69" s="86"/>
      <c r="AD69" s="86"/>
      <c r="AE69" s="86"/>
      <c r="AF69" s="86"/>
      <c r="AG69" s="86"/>
    </row>
    <row r="70" spans="1:33" ht="15.75" thickBot="1" x14ac:dyDescent="0.3">
      <c r="A70" s="202" t="s">
        <v>94</v>
      </c>
      <c r="B70" s="203"/>
      <c r="C70" s="203"/>
      <c r="D70" s="204"/>
      <c r="E70" s="39">
        <f t="shared" ref="E70:AG70" si="13">SUM(E52:E68)</f>
        <v>2</v>
      </c>
      <c r="F70" s="40">
        <f>SUM(F52:F69)</f>
        <v>53</v>
      </c>
      <c r="G70" s="40">
        <f t="shared" si="13"/>
        <v>0</v>
      </c>
      <c r="H70" s="40">
        <f t="shared" si="13"/>
        <v>0</v>
      </c>
      <c r="I70" s="41">
        <f t="shared" si="13"/>
        <v>0</v>
      </c>
      <c r="J70" s="41">
        <f t="shared" si="13"/>
        <v>0</v>
      </c>
      <c r="K70" s="41"/>
      <c r="L70" s="40">
        <f t="shared" si="13"/>
        <v>0</v>
      </c>
      <c r="M70" s="41">
        <f t="shared" si="13"/>
        <v>0</v>
      </c>
      <c r="N70" s="40">
        <f t="shared" si="13"/>
        <v>0</v>
      </c>
      <c r="O70" s="40">
        <f t="shared" si="13"/>
        <v>0</v>
      </c>
      <c r="P70" s="40">
        <f t="shared" si="13"/>
        <v>0</v>
      </c>
      <c r="Q70" s="40">
        <f t="shared" si="13"/>
        <v>0</v>
      </c>
      <c r="R70" s="40">
        <f t="shared" si="13"/>
        <v>0</v>
      </c>
      <c r="S70" s="41">
        <f t="shared" si="13"/>
        <v>0</v>
      </c>
      <c r="T70" s="40">
        <f t="shared" si="13"/>
        <v>0</v>
      </c>
      <c r="U70" s="40">
        <f t="shared" si="13"/>
        <v>0</v>
      </c>
      <c r="V70" s="40">
        <f t="shared" si="13"/>
        <v>0</v>
      </c>
      <c r="W70" s="41">
        <f t="shared" si="13"/>
        <v>0</v>
      </c>
      <c r="X70" s="40">
        <f t="shared" si="13"/>
        <v>0</v>
      </c>
      <c r="Y70" s="41">
        <f t="shared" si="13"/>
        <v>0</v>
      </c>
      <c r="Z70" s="42">
        <f t="shared" si="13"/>
        <v>0</v>
      </c>
      <c r="AA70" s="43">
        <f>SUM(E70:Z70)</f>
        <v>55</v>
      </c>
      <c r="AB70" s="44">
        <f t="shared" si="13"/>
        <v>174</v>
      </c>
      <c r="AC70" s="44">
        <f t="shared" si="13"/>
        <v>10</v>
      </c>
      <c r="AD70" s="44">
        <f t="shared" si="13"/>
        <v>12</v>
      </c>
      <c r="AE70" s="44">
        <f t="shared" si="13"/>
        <v>12</v>
      </c>
      <c r="AF70" s="44">
        <f t="shared" si="13"/>
        <v>9</v>
      </c>
      <c r="AG70" s="44">
        <f t="shared" si="13"/>
        <v>12</v>
      </c>
    </row>
    <row r="71" spans="1:33" s="75" customFormat="1" ht="15.75" thickBot="1" x14ac:dyDescent="0.3">
      <c r="A71" s="68"/>
      <c r="B71" s="69"/>
      <c r="C71" s="69"/>
      <c r="D71" s="69"/>
      <c r="E71" s="70"/>
      <c r="F71" s="70"/>
      <c r="G71" s="70"/>
      <c r="H71" s="70"/>
      <c r="I71" s="71"/>
      <c r="J71" s="71"/>
      <c r="K71" s="71"/>
      <c r="L71" s="70"/>
      <c r="M71" s="71"/>
      <c r="N71" s="70"/>
      <c r="O71" s="70"/>
      <c r="P71" s="70"/>
      <c r="Q71" s="70"/>
      <c r="R71" s="70"/>
      <c r="S71" s="71"/>
      <c r="T71" s="70"/>
      <c r="U71" s="70"/>
      <c r="V71" s="70"/>
      <c r="W71" s="71"/>
      <c r="X71" s="70"/>
      <c r="Y71" s="71"/>
      <c r="Z71" s="72"/>
      <c r="AA71" s="73">
        <f>SUM(E71:Z71)</f>
        <v>0</v>
      </c>
      <c r="AB71" s="74"/>
      <c r="AC71" s="74"/>
      <c r="AD71" s="74"/>
      <c r="AE71" s="74"/>
      <c r="AF71" s="74"/>
      <c r="AG71" s="74"/>
    </row>
    <row r="72" spans="1:33" ht="15.75" thickBot="1" x14ac:dyDescent="0.3">
      <c r="A72" s="45"/>
      <c r="B72" s="199" t="s">
        <v>95</v>
      </c>
      <c r="C72" s="199"/>
      <c r="D72" s="46"/>
      <c r="E72" s="47"/>
      <c r="F72" s="47"/>
      <c r="G72" s="47"/>
      <c r="H72" s="47"/>
      <c r="I72" s="48"/>
      <c r="J72" s="48"/>
      <c r="K72" s="48"/>
      <c r="L72" s="47"/>
      <c r="M72" s="48"/>
      <c r="N72" s="47"/>
      <c r="O72" s="47"/>
      <c r="P72" s="47"/>
      <c r="Q72" s="47"/>
      <c r="R72" s="47"/>
      <c r="S72" s="48"/>
      <c r="T72" s="47"/>
      <c r="U72" s="47"/>
      <c r="V72" s="47"/>
      <c r="W72" s="48"/>
      <c r="X72" s="47"/>
      <c r="Y72" s="48"/>
      <c r="Z72" s="49"/>
      <c r="AA72" s="53">
        <f>SUM(E72:Z72)</f>
        <v>0</v>
      </c>
      <c r="AB72" s="74"/>
      <c r="AC72" s="74"/>
      <c r="AD72" s="74"/>
      <c r="AE72" s="74"/>
      <c r="AF72" s="74"/>
      <c r="AG72" s="74"/>
    </row>
    <row r="73" spans="1:33" ht="15.75" thickBot="1" x14ac:dyDescent="0.3">
      <c r="A73" s="205" t="s">
        <v>96</v>
      </c>
      <c r="B73" s="206"/>
      <c r="C73" s="206"/>
      <c r="D73" s="206"/>
      <c r="E73" s="54">
        <f t="shared" ref="E73:J73" si="14">E70*E5</f>
        <v>21377314.652848002</v>
      </c>
      <c r="F73" s="54">
        <f t="shared" si="14"/>
        <v>556198859.42228162</v>
      </c>
      <c r="G73" s="54">
        <f t="shared" si="14"/>
        <v>0</v>
      </c>
      <c r="H73" s="54">
        <f t="shared" si="14"/>
        <v>0</v>
      </c>
      <c r="I73" s="55">
        <f t="shared" si="14"/>
        <v>0</v>
      </c>
      <c r="J73" s="55">
        <f t="shared" si="14"/>
        <v>0</v>
      </c>
      <c r="K73" s="55"/>
      <c r="L73" s="54">
        <f>L70*L5</f>
        <v>0</v>
      </c>
      <c r="M73" s="55">
        <f>M70*M5</f>
        <v>0</v>
      </c>
      <c r="N73" s="54">
        <f t="shared" ref="N73:Z73" si="15">N70*N5</f>
        <v>0</v>
      </c>
      <c r="O73" s="54">
        <f t="shared" si="15"/>
        <v>0</v>
      </c>
      <c r="P73" s="54">
        <f t="shared" si="15"/>
        <v>0</v>
      </c>
      <c r="Q73" s="54">
        <f t="shared" si="15"/>
        <v>0</v>
      </c>
      <c r="R73" s="54">
        <f t="shared" si="15"/>
        <v>0</v>
      </c>
      <c r="S73" s="55">
        <f t="shared" si="15"/>
        <v>0</v>
      </c>
      <c r="T73" s="54">
        <f t="shared" si="15"/>
        <v>0</v>
      </c>
      <c r="U73" s="54">
        <f t="shared" si="15"/>
        <v>0</v>
      </c>
      <c r="V73" s="54">
        <f t="shared" si="15"/>
        <v>0</v>
      </c>
      <c r="W73" s="55">
        <f t="shared" si="15"/>
        <v>0</v>
      </c>
      <c r="X73" s="54">
        <f t="shared" si="15"/>
        <v>0</v>
      </c>
      <c r="Y73" s="55">
        <f t="shared" si="15"/>
        <v>0</v>
      </c>
      <c r="Z73" s="56">
        <f t="shared" si="15"/>
        <v>0</v>
      </c>
      <c r="AA73" s="57">
        <f>SUM(E73:Z73)</f>
        <v>577576174.07512963</v>
      </c>
      <c r="AB73" s="77">
        <f t="shared" ref="AB73:AG73" si="16">AB70*AB5</f>
        <v>2803169.0773333334</v>
      </c>
      <c r="AC73" s="77">
        <f t="shared" si="16"/>
        <v>626198.09777777782</v>
      </c>
      <c r="AD73" s="77">
        <f t="shared" si="16"/>
        <v>962616.70399999991</v>
      </c>
      <c r="AE73" s="77">
        <f t="shared" si="16"/>
        <v>698971.09333333338</v>
      </c>
      <c r="AF73" s="77">
        <f t="shared" si="16"/>
        <v>1653094.6879999998</v>
      </c>
      <c r="AG73" s="77">
        <f t="shared" si="16"/>
        <v>741707.00800000003</v>
      </c>
    </row>
    <row r="74" spans="1:33" ht="15.75" thickBot="1" x14ac:dyDescent="0.3">
      <c r="A74" s="20" t="s">
        <v>153</v>
      </c>
      <c r="B74" s="87" t="s">
        <v>38</v>
      </c>
      <c r="C74" s="22" t="s">
        <v>154</v>
      </c>
      <c r="D74" s="22" t="s">
        <v>155</v>
      </c>
      <c r="E74" s="23">
        <v>0</v>
      </c>
      <c r="F74" s="23">
        <v>0</v>
      </c>
      <c r="G74" s="23">
        <v>0</v>
      </c>
      <c r="H74" s="23">
        <v>0</v>
      </c>
      <c r="I74" s="24">
        <v>0</v>
      </c>
      <c r="J74" s="24">
        <v>0</v>
      </c>
      <c r="K74" s="24">
        <v>0</v>
      </c>
      <c r="L74" s="23">
        <v>0</v>
      </c>
      <c r="M74" s="24">
        <v>0</v>
      </c>
      <c r="N74" s="23">
        <v>1</v>
      </c>
      <c r="O74" s="23">
        <v>0</v>
      </c>
      <c r="P74" s="23">
        <v>0</v>
      </c>
      <c r="Q74" s="23">
        <v>0</v>
      </c>
      <c r="R74" s="23">
        <v>0</v>
      </c>
      <c r="S74" s="24">
        <v>0</v>
      </c>
      <c r="T74" s="23">
        <v>0</v>
      </c>
      <c r="U74" s="23">
        <v>0</v>
      </c>
      <c r="V74" s="23">
        <v>0</v>
      </c>
      <c r="W74" s="24">
        <v>0</v>
      </c>
      <c r="X74" s="23">
        <v>0</v>
      </c>
      <c r="Y74" s="24">
        <v>0</v>
      </c>
      <c r="Z74" s="25">
        <v>0</v>
      </c>
      <c r="AA74" s="3"/>
      <c r="AB74" s="26">
        <v>10</v>
      </c>
      <c r="AC74" s="26">
        <v>2</v>
      </c>
      <c r="AD74" s="26">
        <v>1</v>
      </c>
      <c r="AE74" s="26">
        <v>1</v>
      </c>
      <c r="AF74" s="26">
        <v>1</v>
      </c>
      <c r="AG74" s="26">
        <v>0</v>
      </c>
    </row>
    <row r="75" spans="1:33" ht="27.75" thickBot="1" x14ac:dyDescent="0.3">
      <c r="A75" s="28" t="s">
        <v>153</v>
      </c>
      <c r="B75" s="88" t="s">
        <v>156</v>
      </c>
      <c r="C75" s="30" t="s">
        <v>154</v>
      </c>
      <c r="D75" s="30" t="s">
        <v>155</v>
      </c>
      <c r="E75" s="31">
        <v>0</v>
      </c>
      <c r="F75" s="31">
        <v>4</v>
      </c>
      <c r="G75" s="31">
        <v>0</v>
      </c>
      <c r="H75" s="31">
        <v>0</v>
      </c>
      <c r="I75" s="32">
        <v>0</v>
      </c>
      <c r="J75" s="32">
        <v>0</v>
      </c>
      <c r="K75" s="24">
        <v>0</v>
      </c>
      <c r="L75" s="31">
        <v>0</v>
      </c>
      <c r="M75" s="32">
        <v>0</v>
      </c>
      <c r="N75" s="31">
        <v>1</v>
      </c>
      <c r="O75" s="31">
        <v>0</v>
      </c>
      <c r="P75" s="31">
        <v>1</v>
      </c>
      <c r="Q75" s="31">
        <v>0</v>
      </c>
      <c r="R75" s="31">
        <v>0</v>
      </c>
      <c r="S75" s="32">
        <v>0</v>
      </c>
      <c r="T75" s="31">
        <v>0</v>
      </c>
      <c r="U75" s="31">
        <v>0</v>
      </c>
      <c r="V75" s="31">
        <v>0</v>
      </c>
      <c r="W75" s="32">
        <v>0</v>
      </c>
      <c r="X75" s="31">
        <v>0</v>
      </c>
      <c r="Y75" s="32">
        <v>0</v>
      </c>
      <c r="Z75" s="33">
        <v>0</v>
      </c>
      <c r="AA75" s="3"/>
      <c r="AB75" s="26">
        <v>16</v>
      </c>
      <c r="AC75" s="26">
        <v>1</v>
      </c>
      <c r="AD75" s="26">
        <f>1-1</f>
        <v>0</v>
      </c>
      <c r="AE75" s="26">
        <v>1</v>
      </c>
      <c r="AF75" s="26">
        <v>0</v>
      </c>
      <c r="AG75" s="26">
        <v>2</v>
      </c>
    </row>
    <row r="76" spans="1:33" ht="27.75" thickBot="1" x14ac:dyDescent="0.3">
      <c r="A76" s="28" t="s">
        <v>153</v>
      </c>
      <c r="B76" s="88" t="s">
        <v>156</v>
      </c>
      <c r="C76" s="30" t="s">
        <v>157</v>
      </c>
      <c r="D76" s="30" t="s">
        <v>158</v>
      </c>
      <c r="E76" s="31">
        <v>0</v>
      </c>
      <c r="F76" s="31">
        <v>1</v>
      </c>
      <c r="G76" s="31">
        <v>0</v>
      </c>
      <c r="H76" s="31">
        <v>0</v>
      </c>
      <c r="I76" s="32">
        <v>0</v>
      </c>
      <c r="J76" s="32">
        <v>0</v>
      </c>
      <c r="K76" s="24">
        <v>0</v>
      </c>
      <c r="L76" s="31">
        <v>0</v>
      </c>
      <c r="M76" s="32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2">
        <v>0</v>
      </c>
      <c r="T76" s="31">
        <v>0</v>
      </c>
      <c r="U76" s="31">
        <v>0</v>
      </c>
      <c r="V76" s="31">
        <v>0</v>
      </c>
      <c r="W76" s="32">
        <v>0</v>
      </c>
      <c r="X76" s="31">
        <v>0</v>
      </c>
      <c r="Y76" s="32">
        <v>0</v>
      </c>
      <c r="Z76" s="33">
        <v>0</v>
      </c>
      <c r="AA76" s="3"/>
      <c r="AB76" s="26">
        <v>15</v>
      </c>
      <c r="AC76" s="26">
        <v>1</v>
      </c>
      <c r="AD76" s="26">
        <v>1</v>
      </c>
      <c r="AE76" s="26">
        <v>1</v>
      </c>
      <c r="AF76" s="26">
        <v>1</v>
      </c>
      <c r="AG76" s="26">
        <v>2</v>
      </c>
    </row>
    <row r="77" spans="1:33" ht="27.75" thickBot="1" x14ac:dyDescent="0.3">
      <c r="A77" s="28" t="s">
        <v>153</v>
      </c>
      <c r="B77" s="88" t="s">
        <v>156</v>
      </c>
      <c r="C77" s="30" t="s">
        <v>159</v>
      </c>
      <c r="D77" s="30" t="s">
        <v>160</v>
      </c>
      <c r="E77" s="31">
        <v>0</v>
      </c>
      <c r="F77" s="31">
        <v>4</v>
      </c>
      <c r="G77" s="31">
        <v>0</v>
      </c>
      <c r="H77" s="31">
        <v>0</v>
      </c>
      <c r="I77" s="32">
        <v>0</v>
      </c>
      <c r="J77" s="32">
        <v>0</v>
      </c>
      <c r="K77" s="24">
        <v>0</v>
      </c>
      <c r="L77" s="31">
        <v>0</v>
      </c>
      <c r="M77" s="32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2">
        <v>0</v>
      </c>
      <c r="T77" s="31">
        <v>0</v>
      </c>
      <c r="U77" s="31">
        <v>0</v>
      </c>
      <c r="V77" s="31">
        <v>0</v>
      </c>
      <c r="W77" s="32">
        <v>0</v>
      </c>
      <c r="X77" s="31">
        <v>0</v>
      </c>
      <c r="Y77" s="32">
        <v>0</v>
      </c>
      <c r="Z77" s="33">
        <v>0</v>
      </c>
      <c r="AA77" s="3"/>
      <c r="AB77" s="26">
        <v>10</v>
      </c>
      <c r="AC77" s="26">
        <v>0</v>
      </c>
      <c r="AD77" s="26">
        <v>1</v>
      </c>
      <c r="AE77" s="26">
        <v>0</v>
      </c>
      <c r="AF77" s="26">
        <v>0</v>
      </c>
      <c r="AG77" s="26">
        <v>1</v>
      </c>
    </row>
    <row r="78" spans="1:33" ht="27.75" thickBot="1" x14ac:dyDescent="0.3">
      <c r="A78" s="28" t="s">
        <v>153</v>
      </c>
      <c r="B78" s="89" t="s">
        <v>161</v>
      </c>
      <c r="C78" s="30" t="s">
        <v>162</v>
      </c>
      <c r="D78" s="30" t="s">
        <v>155</v>
      </c>
      <c r="E78" s="31">
        <v>1</v>
      </c>
      <c r="F78" s="31">
        <v>5</v>
      </c>
      <c r="G78" s="31">
        <v>1</v>
      </c>
      <c r="H78" s="31">
        <v>0</v>
      </c>
      <c r="I78" s="32">
        <v>0</v>
      </c>
      <c r="J78" s="32">
        <v>0</v>
      </c>
      <c r="K78" s="24">
        <v>0</v>
      </c>
      <c r="L78" s="31">
        <v>0</v>
      </c>
      <c r="M78" s="32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2">
        <v>0</v>
      </c>
      <c r="T78" s="31">
        <v>0</v>
      </c>
      <c r="U78" s="31">
        <v>0</v>
      </c>
      <c r="V78" s="31">
        <v>0</v>
      </c>
      <c r="W78" s="32">
        <v>0</v>
      </c>
      <c r="X78" s="31">
        <v>0</v>
      </c>
      <c r="Y78" s="32">
        <v>0</v>
      </c>
      <c r="Z78" s="33">
        <v>0</v>
      </c>
      <c r="AA78" s="3"/>
      <c r="AB78" s="26">
        <v>26</v>
      </c>
      <c r="AC78" s="26">
        <v>2</v>
      </c>
      <c r="AD78" s="26">
        <v>2</v>
      </c>
      <c r="AE78" s="26">
        <v>2</v>
      </c>
      <c r="AF78" s="26">
        <v>1</v>
      </c>
      <c r="AG78" s="26">
        <v>3</v>
      </c>
    </row>
    <row r="79" spans="1:33" ht="41.25" thickBot="1" x14ac:dyDescent="0.3">
      <c r="A79" s="62" t="s">
        <v>153</v>
      </c>
      <c r="B79" s="90" t="s">
        <v>163</v>
      </c>
      <c r="C79" s="64" t="s">
        <v>164</v>
      </c>
      <c r="D79" s="64" t="s">
        <v>155</v>
      </c>
      <c r="E79" s="65">
        <v>1</v>
      </c>
      <c r="F79" s="65">
        <v>4</v>
      </c>
      <c r="G79" s="65">
        <v>0</v>
      </c>
      <c r="H79" s="65">
        <v>0</v>
      </c>
      <c r="I79" s="66">
        <v>0</v>
      </c>
      <c r="J79" s="66">
        <v>0</v>
      </c>
      <c r="K79" s="24">
        <v>0</v>
      </c>
      <c r="L79" s="65">
        <v>0</v>
      </c>
      <c r="M79" s="66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6">
        <v>0</v>
      </c>
      <c r="T79" s="65">
        <v>0</v>
      </c>
      <c r="U79" s="65">
        <v>0</v>
      </c>
      <c r="V79" s="65">
        <v>0</v>
      </c>
      <c r="W79" s="66">
        <v>0</v>
      </c>
      <c r="X79" s="65">
        <v>0</v>
      </c>
      <c r="Y79" s="66">
        <v>0</v>
      </c>
      <c r="Z79" s="67">
        <v>0</v>
      </c>
      <c r="AA79" s="38">
        <f>AA83*7.5</f>
        <v>1750440396.2783227</v>
      </c>
      <c r="AB79" s="26">
        <v>13</v>
      </c>
      <c r="AC79" s="26">
        <v>0</v>
      </c>
      <c r="AD79" s="26">
        <v>1</v>
      </c>
      <c r="AE79" s="26">
        <v>1</v>
      </c>
      <c r="AF79" s="26">
        <v>1</v>
      </c>
      <c r="AG79" s="26">
        <v>1</v>
      </c>
    </row>
    <row r="80" spans="1:33" ht="15.75" thickBot="1" x14ac:dyDescent="0.3">
      <c r="A80" s="202" t="s">
        <v>94</v>
      </c>
      <c r="B80" s="203"/>
      <c r="C80" s="203"/>
      <c r="D80" s="204"/>
      <c r="E80" s="39">
        <f>SUM(E74:E79)</f>
        <v>2</v>
      </c>
      <c r="F80" s="40">
        <f t="shared" ref="F80:AG80" si="17">SUM(F74:F79)</f>
        <v>18</v>
      </c>
      <c r="G80" s="40">
        <f t="shared" si="17"/>
        <v>1</v>
      </c>
      <c r="H80" s="40">
        <f t="shared" si="17"/>
        <v>0</v>
      </c>
      <c r="I80" s="41">
        <f t="shared" si="17"/>
        <v>0</v>
      </c>
      <c r="J80" s="41">
        <f t="shared" si="17"/>
        <v>0</v>
      </c>
      <c r="K80" s="41"/>
      <c r="L80" s="40">
        <f t="shared" si="17"/>
        <v>0</v>
      </c>
      <c r="M80" s="41">
        <f t="shared" si="17"/>
        <v>0</v>
      </c>
      <c r="N80" s="40">
        <f t="shared" si="17"/>
        <v>2</v>
      </c>
      <c r="O80" s="40">
        <f t="shared" si="17"/>
        <v>0</v>
      </c>
      <c r="P80" s="40">
        <f t="shared" si="17"/>
        <v>1</v>
      </c>
      <c r="Q80" s="40">
        <f t="shared" si="17"/>
        <v>0</v>
      </c>
      <c r="R80" s="40">
        <f t="shared" si="17"/>
        <v>0</v>
      </c>
      <c r="S80" s="41">
        <f t="shared" si="17"/>
        <v>0</v>
      </c>
      <c r="T80" s="40">
        <f t="shared" si="17"/>
        <v>0</v>
      </c>
      <c r="U80" s="40">
        <f t="shared" si="17"/>
        <v>0</v>
      </c>
      <c r="V80" s="40">
        <f t="shared" si="17"/>
        <v>0</v>
      </c>
      <c r="W80" s="41">
        <f t="shared" si="17"/>
        <v>0</v>
      </c>
      <c r="X80" s="40">
        <f t="shared" si="17"/>
        <v>0</v>
      </c>
      <c r="Y80" s="41">
        <f t="shared" si="17"/>
        <v>0</v>
      </c>
      <c r="Z80" s="42">
        <f t="shared" si="17"/>
        <v>0</v>
      </c>
      <c r="AA80" s="43">
        <f>SUM(E80:Z80)</f>
        <v>24</v>
      </c>
      <c r="AB80" s="44">
        <f t="shared" si="17"/>
        <v>90</v>
      </c>
      <c r="AC80" s="44">
        <f t="shared" si="17"/>
        <v>6</v>
      </c>
      <c r="AD80" s="44">
        <f t="shared" si="17"/>
        <v>6</v>
      </c>
      <c r="AE80" s="44">
        <f t="shared" si="17"/>
        <v>6</v>
      </c>
      <c r="AF80" s="44">
        <f t="shared" si="17"/>
        <v>4</v>
      </c>
      <c r="AG80" s="44">
        <f t="shared" si="17"/>
        <v>9</v>
      </c>
    </row>
    <row r="81" spans="1:33" s="75" customFormat="1" ht="15.75" thickBot="1" x14ac:dyDescent="0.3">
      <c r="A81" s="68"/>
      <c r="B81" s="69"/>
      <c r="C81" s="69"/>
      <c r="D81" s="69"/>
      <c r="E81" s="70"/>
      <c r="F81" s="70"/>
      <c r="G81" s="70"/>
      <c r="H81" s="70"/>
      <c r="I81" s="71"/>
      <c r="J81" s="71"/>
      <c r="K81" s="71"/>
      <c r="L81" s="70"/>
      <c r="M81" s="71"/>
      <c r="N81" s="70"/>
      <c r="O81" s="70"/>
      <c r="P81" s="70"/>
      <c r="Q81" s="70"/>
      <c r="R81" s="70"/>
      <c r="S81" s="71"/>
      <c r="T81" s="70"/>
      <c r="U81" s="70"/>
      <c r="V81" s="70"/>
      <c r="W81" s="71"/>
      <c r="X81" s="70"/>
      <c r="Y81" s="71"/>
      <c r="Z81" s="72"/>
      <c r="AA81" s="73">
        <f>SUM(E81:Z81)</f>
        <v>0</v>
      </c>
      <c r="AB81" s="74"/>
      <c r="AC81" s="74"/>
      <c r="AD81" s="74"/>
      <c r="AE81" s="74"/>
      <c r="AF81" s="74"/>
      <c r="AG81" s="74"/>
    </row>
    <row r="82" spans="1:33" ht="15.75" thickBot="1" x14ac:dyDescent="0.3">
      <c r="A82" s="45"/>
      <c r="B82" s="199" t="s">
        <v>95</v>
      </c>
      <c r="C82" s="199"/>
      <c r="D82" s="46"/>
      <c r="E82" s="47"/>
      <c r="F82" s="47"/>
      <c r="G82" s="47"/>
      <c r="H82" s="47"/>
      <c r="I82" s="48"/>
      <c r="J82" s="48"/>
      <c r="K82" s="48"/>
      <c r="L82" s="47"/>
      <c r="M82" s="48"/>
      <c r="N82" s="47"/>
      <c r="O82" s="47"/>
      <c r="P82" s="47"/>
      <c r="Q82" s="47"/>
      <c r="R82" s="47"/>
      <c r="S82" s="48"/>
      <c r="T82" s="47"/>
      <c r="U82" s="47"/>
      <c r="V82" s="47"/>
      <c r="W82" s="48"/>
      <c r="X82" s="47"/>
      <c r="Y82" s="48"/>
      <c r="Z82" s="49"/>
      <c r="AA82" s="53">
        <f>SUM(E82:Z82)</f>
        <v>0</v>
      </c>
      <c r="AB82" s="74"/>
      <c r="AC82" s="74"/>
      <c r="AD82" s="74"/>
      <c r="AE82" s="74"/>
      <c r="AF82" s="74"/>
      <c r="AG82" s="74"/>
    </row>
    <row r="83" spans="1:33" ht="15.75" thickBot="1" x14ac:dyDescent="0.3">
      <c r="A83" s="205" t="s">
        <v>96</v>
      </c>
      <c r="B83" s="206"/>
      <c r="C83" s="206"/>
      <c r="D83" s="206"/>
      <c r="E83" s="54">
        <f t="shared" ref="E83:J83" si="18">E80*E5</f>
        <v>21377314.652848002</v>
      </c>
      <c r="F83" s="54">
        <f t="shared" si="18"/>
        <v>188897725.84152961</v>
      </c>
      <c r="G83" s="54">
        <f t="shared" si="18"/>
        <v>10494318.1023072</v>
      </c>
      <c r="H83" s="54">
        <f t="shared" si="18"/>
        <v>0</v>
      </c>
      <c r="I83" s="55">
        <f t="shared" si="18"/>
        <v>0</v>
      </c>
      <c r="J83" s="55">
        <f t="shared" si="18"/>
        <v>0</v>
      </c>
      <c r="K83" s="55"/>
      <c r="L83" s="54">
        <f>L80*L5</f>
        <v>0</v>
      </c>
      <c r="M83" s="55">
        <f>M80*M5</f>
        <v>0</v>
      </c>
      <c r="N83" s="54">
        <f t="shared" ref="N83:Z83" si="19">N80*N5</f>
        <v>9741398.4799125772</v>
      </c>
      <c r="O83" s="54">
        <f t="shared" si="19"/>
        <v>0</v>
      </c>
      <c r="P83" s="54">
        <f t="shared" si="19"/>
        <v>2881295.7605123054</v>
      </c>
      <c r="Q83" s="54">
        <f t="shared" si="19"/>
        <v>0</v>
      </c>
      <c r="R83" s="54">
        <f t="shared" si="19"/>
        <v>0</v>
      </c>
      <c r="S83" s="55">
        <f t="shared" si="19"/>
        <v>0</v>
      </c>
      <c r="T83" s="54">
        <f t="shared" si="19"/>
        <v>0</v>
      </c>
      <c r="U83" s="54">
        <f t="shared" si="19"/>
        <v>0</v>
      </c>
      <c r="V83" s="54">
        <f t="shared" si="19"/>
        <v>0</v>
      </c>
      <c r="W83" s="55">
        <f t="shared" si="19"/>
        <v>0</v>
      </c>
      <c r="X83" s="54">
        <f t="shared" si="19"/>
        <v>0</v>
      </c>
      <c r="Y83" s="55">
        <f t="shared" si="19"/>
        <v>0</v>
      </c>
      <c r="Z83" s="56">
        <f t="shared" si="19"/>
        <v>0</v>
      </c>
      <c r="AA83" s="57">
        <f>SUM(E83:Z83)</f>
        <v>233392052.83710968</v>
      </c>
      <c r="AB83" s="77">
        <f t="shared" ref="AB83:AG83" si="20">AB80*AB5</f>
        <v>1449915.04</v>
      </c>
      <c r="AC83" s="77">
        <f t="shared" si="20"/>
        <v>375718.85866666673</v>
      </c>
      <c r="AD83" s="77">
        <f t="shared" si="20"/>
        <v>481308.35199999996</v>
      </c>
      <c r="AE83" s="77">
        <f t="shared" si="20"/>
        <v>349485.54666666669</v>
      </c>
      <c r="AF83" s="77">
        <f t="shared" si="20"/>
        <v>734708.75022222218</v>
      </c>
      <c r="AG83" s="77">
        <f t="shared" si="20"/>
        <v>556280.25600000005</v>
      </c>
    </row>
    <row r="84" spans="1:33" ht="27.75" thickBot="1" x14ac:dyDescent="0.3">
      <c r="A84" s="20" t="s">
        <v>165</v>
      </c>
      <c r="B84" s="87" t="s">
        <v>166</v>
      </c>
      <c r="C84" s="22" t="s">
        <v>167</v>
      </c>
      <c r="D84" s="22" t="s">
        <v>168</v>
      </c>
      <c r="E84" s="23">
        <v>0</v>
      </c>
      <c r="F84" s="23">
        <v>1</v>
      </c>
      <c r="G84" s="23">
        <v>0</v>
      </c>
      <c r="H84" s="23">
        <v>0</v>
      </c>
      <c r="I84" s="24">
        <v>0</v>
      </c>
      <c r="J84" s="24">
        <v>0</v>
      </c>
      <c r="K84" s="24">
        <v>0</v>
      </c>
      <c r="L84" s="23">
        <v>0</v>
      </c>
      <c r="M84" s="24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4">
        <v>0</v>
      </c>
      <c r="T84" s="23">
        <v>0</v>
      </c>
      <c r="U84" s="23">
        <v>0</v>
      </c>
      <c r="V84" s="23">
        <v>0</v>
      </c>
      <c r="W84" s="24">
        <v>0</v>
      </c>
      <c r="X84" s="23">
        <v>0</v>
      </c>
      <c r="Y84" s="24">
        <v>0</v>
      </c>
      <c r="Z84" s="25">
        <v>0</v>
      </c>
      <c r="AA84" s="3"/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</row>
    <row r="85" spans="1:33" ht="41.25" thickBot="1" x14ac:dyDescent="0.3">
      <c r="A85" s="28" t="s">
        <v>165</v>
      </c>
      <c r="B85" s="91" t="s">
        <v>169</v>
      </c>
      <c r="C85" s="30" t="s">
        <v>170</v>
      </c>
      <c r="D85" s="30" t="s">
        <v>168</v>
      </c>
      <c r="E85" s="31">
        <v>0</v>
      </c>
      <c r="F85" s="31">
        <v>6</v>
      </c>
      <c r="G85" s="31">
        <v>1</v>
      </c>
      <c r="H85" s="31">
        <v>0</v>
      </c>
      <c r="I85" s="32">
        <v>0</v>
      </c>
      <c r="J85" s="32">
        <v>0</v>
      </c>
      <c r="K85" s="24">
        <v>0</v>
      </c>
      <c r="L85" s="31">
        <v>0</v>
      </c>
      <c r="M85" s="32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2">
        <v>0</v>
      </c>
      <c r="T85" s="31">
        <v>0</v>
      </c>
      <c r="U85" s="31">
        <v>0</v>
      </c>
      <c r="V85" s="31">
        <v>0</v>
      </c>
      <c r="W85" s="32">
        <v>0</v>
      </c>
      <c r="X85" s="31">
        <v>0</v>
      </c>
      <c r="Y85" s="32">
        <v>0</v>
      </c>
      <c r="Z85" s="33">
        <v>0</v>
      </c>
      <c r="AA85" s="3"/>
      <c r="AB85" s="35">
        <v>40</v>
      </c>
      <c r="AC85" s="35">
        <v>5</v>
      </c>
      <c r="AD85" s="35">
        <v>2</v>
      </c>
      <c r="AE85" s="35">
        <v>2</v>
      </c>
      <c r="AF85" s="35">
        <v>1</v>
      </c>
      <c r="AG85" s="35">
        <v>7</v>
      </c>
    </row>
    <row r="86" spans="1:33" ht="27.75" thickBot="1" x14ac:dyDescent="0.3">
      <c r="A86" s="28" t="s">
        <v>165</v>
      </c>
      <c r="B86" s="91" t="s">
        <v>171</v>
      </c>
      <c r="C86" s="30" t="s">
        <v>172</v>
      </c>
      <c r="D86" s="30" t="s">
        <v>168</v>
      </c>
      <c r="E86" s="31">
        <v>0</v>
      </c>
      <c r="F86" s="31">
        <v>0</v>
      </c>
      <c r="G86" s="31">
        <v>0</v>
      </c>
      <c r="H86" s="31">
        <v>0</v>
      </c>
      <c r="I86" s="32">
        <v>0</v>
      </c>
      <c r="J86" s="32">
        <v>0</v>
      </c>
      <c r="K86" s="24">
        <v>0</v>
      </c>
      <c r="L86" s="31">
        <v>0</v>
      </c>
      <c r="M86" s="32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2">
        <v>0</v>
      </c>
      <c r="T86" s="31">
        <v>0</v>
      </c>
      <c r="U86" s="31">
        <v>0</v>
      </c>
      <c r="V86" s="31">
        <v>0</v>
      </c>
      <c r="W86" s="32">
        <v>0</v>
      </c>
      <c r="X86" s="31">
        <v>0</v>
      </c>
      <c r="Y86" s="32">
        <v>0</v>
      </c>
      <c r="Z86" s="33">
        <v>0</v>
      </c>
      <c r="AA86" s="3"/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</row>
    <row r="87" spans="1:33" ht="27.75" thickBot="1" x14ac:dyDescent="0.3">
      <c r="A87" s="28" t="s">
        <v>165</v>
      </c>
      <c r="B87" s="91" t="s">
        <v>171</v>
      </c>
      <c r="C87" s="30" t="s">
        <v>173</v>
      </c>
      <c r="D87" s="30" t="s">
        <v>174</v>
      </c>
      <c r="E87" s="31">
        <v>0</v>
      </c>
      <c r="F87" s="31">
        <v>3</v>
      </c>
      <c r="G87" s="31">
        <v>0</v>
      </c>
      <c r="H87" s="31">
        <v>0</v>
      </c>
      <c r="I87" s="32">
        <v>0</v>
      </c>
      <c r="J87" s="32">
        <v>0</v>
      </c>
      <c r="K87" s="24">
        <v>0</v>
      </c>
      <c r="L87" s="31">
        <v>0</v>
      </c>
      <c r="M87" s="32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2">
        <v>0</v>
      </c>
      <c r="T87" s="31">
        <v>0</v>
      </c>
      <c r="U87" s="31">
        <v>0</v>
      </c>
      <c r="V87" s="31">
        <v>0</v>
      </c>
      <c r="W87" s="32">
        <v>0</v>
      </c>
      <c r="X87" s="31">
        <v>0</v>
      </c>
      <c r="Y87" s="32">
        <v>0</v>
      </c>
      <c r="Z87" s="33">
        <v>0</v>
      </c>
      <c r="AA87" s="3"/>
      <c r="AB87" s="35">
        <v>13</v>
      </c>
      <c r="AC87" s="35">
        <v>3</v>
      </c>
      <c r="AD87" s="35">
        <v>1</v>
      </c>
      <c r="AE87" s="35">
        <v>1</v>
      </c>
      <c r="AF87" s="35">
        <v>1</v>
      </c>
      <c r="AG87" s="35">
        <v>3</v>
      </c>
    </row>
    <row r="88" spans="1:33" ht="27.75" thickBot="1" x14ac:dyDescent="0.3">
      <c r="A88" s="28" t="s">
        <v>165</v>
      </c>
      <c r="B88" s="91" t="s">
        <v>169</v>
      </c>
      <c r="C88" s="30" t="s">
        <v>175</v>
      </c>
      <c r="D88" s="30" t="s">
        <v>168</v>
      </c>
      <c r="E88" s="31">
        <v>0</v>
      </c>
      <c r="F88" s="31">
        <v>7</v>
      </c>
      <c r="G88" s="31">
        <v>0</v>
      </c>
      <c r="H88" s="31">
        <v>0</v>
      </c>
      <c r="I88" s="32">
        <v>0</v>
      </c>
      <c r="J88" s="32">
        <v>0</v>
      </c>
      <c r="K88" s="24">
        <v>0</v>
      </c>
      <c r="L88" s="31">
        <v>0</v>
      </c>
      <c r="M88" s="32">
        <v>0</v>
      </c>
      <c r="N88" s="31">
        <v>0</v>
      </c>
      <c r="O88" s="31">
        <v>2</v>
      </c>
      <c r="P88" s="31">
        <v>0</v>
      </c>
      <c r="Q88" s="31">
        <v>0</v>
      </c>
      <c r="R88" s="31">
        <v>0</v>
      </c>
      <c r="S88" s="32">
        <v>0</v>
      </c>
      <c r="T88" s="31">
        <v>2</v>
      </c>
      <c r="U88" s="31">
        <v>0</v>
      </c>
      <c r="V88" s="31">
        <v>0</v>
      </c>
      <c r="W88" s="32">
        <v>0</v>
      </c>
      <c r="X88" s="31">
        <v>0</v>
      </c>
      <c r="Y88" s="32">
        <v>0</v>
      </c>
      <c r="Z88" s="33">
        <v>0</v>
      </c>
      <c r="AA88" s="3"/>
      <c r="AB88" s="35">
        <v>26</v>
      </c>
      <c r="AC88" s="35">
        <v>4</v>
      </c>
      <c r="AD88" s="35">
        <v>2</v>
      </c>
      <c r="AE88" s="35">
        <v>2</v>
      </c>
      <c r="AF88" s="35">
        <v>1</v>
      </c>
      <c r="AG88" s="35">
        <v>4</v>
      </c>
    </row>
    <row r="89" spans="1:33" ht="15.75" thickBot="1" x14ac:dyDescent="0.3">
      <c r="A89" s="28" t="s">
        <v>165</v>
      </c>
      <c r="B89" s="91" t="s">
        <v>171</v>
      </c>
      <c r="C89" s="30" t="s">
        <v>176</v>
      </c>
      <c r="D89" s="30" t="s">
        <v>168</v>
      </c>
      <c r="E89" s="31">
        <v>0</v>
      </c>
      <c r="F89" s="31">
        <v>0</v>
      </c>
      <c r="G89" s="31">
        <v>0</v>
      </c>
      <c r="H89" s="31">
        <v>0</v>
      </c>
      <c r="I89" s="32">
        <v>0</v>
      </c>
      <c r="J89" s="32">
        <v>0</v>
      </c>
      <c r="K89" s="24">
        <v>0</v>
      </c>
      <c r="L89" s="31">
        <v>0</v>
      </c>
      <c r="M89" s="32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2">
        <v>0</v>
      </c>
      <c r="T89" s="31">
        <v>0</v>
      </c>
      <c r="U89" s="31">
        <v>0</v>
      </c>
      <c r="V89" s="31">
        <v>0</v>
      </c>
      <c r="W89" s="32">
        <v>0</v>
      </c>
      <c r="X89" s="31">
        <v>0</v>
      </c>
      <c r="Y89" s="32">
        <v>0</v>
      </c>
      <c r="Z89" s="33">
        <v>0</v>
      </c>
      <c r="AA89" s="3"/>
      <c r="AB89" s="35"/>
      <c r="AC89" s="35"/>
      <c r="AD89" s="35"/>
      <c r="AE89" s="35"/>
      <c r="AF89" s="35"/>
      <c r="AG89" s="35"/>
    </row>
    <row r="90" spans="1:33" ht="27.75" thickBot="1" x14ac:dyDescent="0.3">
      <c r="A90" s="28" t="s">
        <v>165</v>
      </c>
      <c r="B90" s="89" t="s">
        <v>169</v>
      </c>
      <c r="C90" s="30" t="s">
        <v>177</v>
      </c>
      <c r="D90" s="30" t="s">
        <v>168</v>
      </c>
      <c r="E90" s="31">
        <v>0</v>
      </c>
      <c r="F90" s="31">
        <v>2</v>
      </c>
      <c r="G90" s="31">
        <v>0</v>
      </c>
      <c r="H90" s="31">
        <v>0</v>
      </c>
      <c r="I90" s="32">
        <v>0</v>
      </c>
      <c r="J90" s="32">
        <v>0</v>
      </c>
      <c r="K90" s="24">
        <v>0</v>
      </c>
      <c r="L90" s="31">
        <v>0</v>
      </c>
      <c r="M90" s="32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2">
        <v>0</v>
      </c>
      <c r="T90" s="31">
        <v>0</v>
      </c>
      <c r="U90" s="31">
        <v>0</v>
      </c>
      <c r="V90" s="31">
        <v>0</v>
      </c>
      <c r="W90" s="32">
        <v>0</v>
      </c>
      <c r="X90" s="31">
        <v>0</v>
      </c>
      <c r="Y90" s="32">
        <v>0</v>
      </c>
      <c r="Z90" s="33">
        <v>0</v>
      </c>
      <c r="AA90" s="3"/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</row>
    <row r="91" spans="1:33" ht="27.75" thickBot="1" x14ac:dyDescent="0.3">
      <c r="A91" s="28" t="s">
        <v>165</v>
      </c>
      <c r="B91" s="91" t="s">
        <v>169</v>
      </c>
      <c r="C91" s="30" t="s">
        <v>178</v>
      </c>
      <c r="D91" s="30" t="s">
        <v>168</v>
      </c>
      <c r="E91" s="31">
        <v>0</v>
      </c>
      <c r="F91" s="31">
        <v>1</v>
      </c>
      <c r="G91" s="31">
        <v>0</v>
      </c>
      <c r="H91" s="31">
        <v>0</v>
      </c>
      <c r="I91" s="32">
        <v>0</v>
      </c>
      <c r="J91" s="32">
        <v>0</v>
      </c>
      <c r="K91" s="24">
        <v>0</v>
      </c>
      <c r="L91" s="31">
        <v>0</v>
      </c>
      <c r="M91" s="32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2">
        <v>0</v>
      </c>
      <c r="T91" s="31">
        <v>0</v>
      </c>
      <c r="U91" s="31">
        <v>0</v>
      </c>
      <c r="V91" s="31">
        <v>0</v>
      </c>
      <c r="W91" s="32">
        <v>0</v>
      </c>
      <c r="X91" s="31">
        <v>0</v>
      </c>
      <c r="Y91" s="32">
        <v>0</v>
      </c>
      <c r="Z91" s="33">
        <v>0</v>
      </c>
      <c r="AA91" s="3"/>
      <c r="AB91" s="35">
        <v>19</v>
      </c>
      <c r="AC91" s="35">
        <v>4</v>
      </c>
      <c r="AD91" s="35">
        <v>1</v>
      </c>
      <c r="AE91" s="35">
        <v>1</v>
      </c>
      <c r="AF91" s="35">
        <v>0</v>
      </c>
      <c r="AG91" s="35">
        <v>2</v>
      </c>
    </row>
    <row r="92" spans="1:33" ht="27.75" thickBot="1" x14ac:dyDescent="0.3">
      <c r="A92" s="28" t="s">
        <v>165</v>
      </c>
      <c r="B92" s="89" t="s">
        <v>179</v>
      </c>
      <c r="C92" s="30" t="s">
        <v>180</v>
      </c>
      <c r="D92" s="30" t="s">
        <v>181</v>
      </c>
      <c r="E92" s="31">
        <v>0</v>
      </c>
      <c r="F92" s="31">
        <v>1</v>
      </c>
      <c r="G92" s="31">
        <v>0</v>
      </c>
      <c r="H92" s="31">
        <v>0</v>
      </c>
      <c r="I92" s="32">
        <v>0</v>
      </c>
      <c r="J92" s="32">
        <v>0</v>
      </c>
      <c r="K92" s="24">
        <v>0</v>
      </c>
      <c r="L92" s="31">
        <v>0</v>
      </c>
      <c r="M92" s="32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2">
        <v>0</v>
      </c>
      <c r="T92" s="31">
        <v>0</v>
      </c>
      <c r="U92" s="31">
        <v>0</v>
      </c>
      <c r="V92" s="31">
        <v>0</v>
      </c>
      <c r="W92" s="32">
        <v>0</v>
      </c>
      <c r="X92" s="31">
        <v>0</v>
      </c>
      <c r="Y92" s="32">
        <v>0</v>
      </c>
      <c r="Z92" s="33">
        <v>0</v>
      </c>
      <c r="AA92" s="3"/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</row>
    <row r="93" spans="1:33" ht="15.75" thickBot="1" x14ac:dyDescent="0.3">
      <c r="A93" s="28" t="s">
        <v>165</v>
      </c>
      <c r="B93" s="89" t="s">
        <v>179</v>
      </c>
      <c r="C93" s="30" t="s">
        <v>182</v>
      </c>
      <c r="D93" s="30" t="s">
        <v>181</v>
      </c>
      <c r="E93" s="31">
        <v>0</v>
      </c>
      <c r="F93" s="31">
        <v>9</v>
      </c>
      <c r="G93" s="31">
        <v>1</v>
      </c>
      <c r="H93" s="31">
        <v>0</v>
      </c>
      <c r="I93" s="32">
        <v>0</v>
      </c>
      <c r="J93" s="32">
        <v>0</v>
      </c>
      <c r="K93" s="24">
        <v>0</v>
      </c>
      <c r="L93" s="31">
        <v>0</v>
      </c>
      <c r="M93" s="32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2">
        <v>0</v>
      </c>
      <c r="T93" s="31">
        <v>0</v>
      </c>
      <c r="U93" s="31">
        <v>0</v>
      </c>
      <c r="V93" s="31">
        <v>0</v>
      </c>
      <c r="W93" s="32">
        <v>0</v>
      </c>
      <c r="X93" s="31">
        <v>0</v>
      </c>
      <c r="Y93" s="32">
        <v>0</v>
      </c>
      <c r="Z93" s="33">
        <v>0</v>
      </c>
      <c r="AA93" s="3"/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</row>
    <row r="94" spans="1:33" ht="27.75" thickBot="1" x14ac:dyDescent="0.3">
      <c r="A94" s="28" t="s">
        <v>165</v>
      </c>
      <c r="B94" s="89" t="s">
        <v>183</v>
      </c>
      <c r="C94" s="30" t="s">
        <v>184</v>
      </c>
      <c r="D94" s="30" t="s">
        <v>185</v>
      </c>
      <c r="E94" s="31">
        <v>0</v>
      </c>
      <c r="F94" s="31">
        <v>1</v>
      </c>
      <c r="G94" s="31">
        <v>0</v>
      </c>
      <c r="H94" s="31">
        <v>0</v>
      </c>
      <c r="I94" s="32">
        <v>0</v>
      </c>
      <c r="J94" s="32">
        <v>0</v>
      </c>
      <c r="K94" s="24">
        <v>0</v>
      </c>
      <c r="L94" s="31">
        <v>0</v>
      </c>
      <c r="M94" s="32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2">
        <v>0</v>
      </c>
      <c r="T94" s="31">
        <v>0</v>
      </c>
      <c r="U94" s="31">
        <v>0</v>
      </c>
      <c r="V94" s="31">
        <v>0</v>
      </c>
      <c r="W94" s="32">
        <v>0</v>
      </c>
      <c r="X94" s="31">
        <v>0</v>
      </c>
      <c r="Y94" s="32">
        <v>0</v>
      </c>
      <c r="Z94" s="33">
        <v>0</v>
      </c>
      <c r="AA94" s="38">
        <f>AA99*7.5</f>
        <v>2835100400.0911355</v>
      </c>
      <c r="AB94" s="35">
        <v>6</v>
      </c>
      <c r="AC94" s="35">
        <v>0</v>
      </c>
      <c r="AD94" s="35">
        <v>1</v>
      </c>
      <c r="AE94" s="35">
        <v>1</v>
      </c>
      <c r="AF94" s="35">
        <v>0</v>
      </c>
      <c r="AG94" s="35">
        <v>1</v>
      </c>
    </row>
    <row r="95" spans="1:33" ht="27.75" thickBot="1" x14ac:dyDescent="0.3">
      <c r="A95" s="28" t="s">
        <v>165</v>
      </c>
      <c r="B95" s="89" t="s">
        <v>183</v>
      </c>
      <c r="C95" s="30" t="s">
        <v>186</v>
      </c>
      <c r="D95" s="30" t="s">
        <v>187</v>
      </c>
      <c r="E95" s="65">
        <v>0</v>
      </c>
      <c r="F95" s="65">
        <v>1</v>
      </c>
      <c r="G95" s="65">
        <v>0</v>
      </c>
      <c r="H95" s="65">
        <v>0</v>
      </c>
      <c r="I95" s="66">
        <v>0</v>
      </c>
      <c r="J95" s="66">
        <v>0</v>
      </c>
      <c r="K95" s="24">
        <v>0</v>
      </c>
      <c r="L95" s="65">
        <v>0</v>
      </c>
      <c r="M95" s="66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6">
        <v>0</v>
      </c>
      <c r="T95" s="65">
        <v>0</v>
      </c>
      <c r="U95" s="65">
        <v>0</v>
      </c>
      <c r="V95" s="65">
        <v>0</v>
      </c>
      <c r="W95" s="66">
        <v>0</v>
      </c>
      <c r="X95" s="65">
        <v>0</v>
      </c>
      <c r="Y95" s="66">
        <v>0</v>
      </c>
      <c r="Z95" s="67">
        <v>0</v>
      </c>
      <c r="AA95" s="3"/>
      <c r="AB95" s="92"/>
      <c r="AC95" s="92"/>
      <c r="AD95" s="92"/>
      <c r="AE95" s="92"/>
      <c r="AF95" s="92"/>
      <c r="AG95" s="92"/>
    </row>
    <row r="96" spans="1:33" ht="15.75" thickBot="1" x14ac:dyDescent="0.3">
      <c r="A96" s="202" t="s">
        <v>94</v>
      </c>
      <c r="B96" s="203"/>
      <c r="C96" s="203"/>
      <c r="D96" s="204"/>
      <c r="E96" s="39">
        <f>SUM(E84:E95)</f>
        <v>0</v>
      </c>
      <c r="F96" s="40">
        <f t="shared" ref="F96:AG96" si="21">SUM(F84:F95)</f>
        <v>32</v>
      </c>
      <c r="G96" s="40">
        <f t="shared" si="21"/>
        <v>2</v>
      </c>
      <c r="H96" s="40">
        <f t="shared" si="21"/>
        <v>0</v>
      </c>
      <c r="I96" s="41">
        <f t="shared" si="21"/>
        <v>0</v>
      </c>
      <c r="J96" s="41">
        <f t="shared" si="21"/>
        <v>0</v>
      </c>
      <c r="K96" s="41"/>
      <c r="L96" s="40">
        <f t="shared" si="21"/>
        <v>0</v>
      </c>
      <c r="M96" s="41">
        <f t="shared" si="21"/>
        <v>0</v>
      </c>
      <c r="N96" s="40">
        <f t="shared" si="21"/>
        <v>0</v>
      </c>
      <c r="O96" s="40">
        <f t="shared" si="21"/>
        <v>2</v>
      </c>
      <c r="P96" s="40">
        <f t="shared" si="21"/>
        <v>0</v>
      </c>
      <c r="Q96" s="40">
        <f t="shared" si="21"/>
        <v>0</v>
      </c>
      <c r="R96" s="40">
        <f t="shared" si="21"/>
        <v>0</v>
      </c>
      <c r="S96" s="41">
        <f t="shared" si="21"/>
        <v>0</v>
      </c>
      <c r="T96" s="40">
        <f t="shared" si="21"/>
        <v>2</v>
      </c>
      <c r="U96" s="40">
        <f t="shared" si="21"/>
        <v>0</v>
      </c>
      <c r="V96" s="40">
        <f t="shared" si="21"/>
        <v>0</v>
      </c>
      <c r="W96" s="41">
        <f t="shared" si="21"/>
        <v>0</v>
      </c>
      <c r="X96" s="40">
        <f t="shared" si="21"/>
        <v>0</v>
      </c>
      <c r="Y96" s="41">
        <f t="shared" si="21"/>
        <v>0</v>
      </c>
      <c r="Z96" s="42">
        <f t="shared" si="21"/>
        <v>0</v>
      </c>
      <c r="AA96" s="43">
        <f>SUM(E96:Z96)</f>
        <v>38</v>
      </c>
      <c r="AB96" s="44">
        <f t="shared" si="21"/>
        <v>104</v>
      </c>
      <c r="AC96" s="44">
        <f t="shared" si="21"/>
        <v>16</v>
      </c>
      <c r="AD96" s="44">
        <f t="shared" si="21"/>
        <v>7</v>
      </c>
      <c r="AE96" s="44">
        <f t="shared" si="21"/>
        <v>7</v>
      </c>
      <c r="AF96" s="44">
        <f t="shared" si="21"/>
        <v>3</v>
      </c>
      <c r="AG96" s="44">
        <f t="shared" si="21"/>
        <v>17</v>
      </c>
    </row>
    <row r="97" spans="1:33" s="75" customFormat="1" ht="15.75" thickBot="1" x14ac:dyDescent="0.3">
      <c r="A97" s="68"/>
      <c r="B97" s="69"/>
      <c r="C97" s="69"/>
      <c r="D97" s="69"/>
      <c r="E97" s="70"/>
      <c r="F97" s="70"/>
      <c r="G97" s="70"/>
      <c r="H97" s="70"/>
      <c r="I97" s="71"/>
      <c r="J97" s="71"/>
      <c r="K97" s="71"/>
      <c r="L97" s="70"/>
      <c r="M97" s="71"/>
      <c r="N97" s="70"/>
      <c r="O97" s="70"/>
      <c r="P97" s="70"/>
      <c r="Q97" s="70"/>
      <c r="R97" s="70"/>
      <c r="S97" s="71"/>
      <c r="T97" s="70"/>
      <c r="U97" s="70"/>
      <c r="V97" s="70"/>
      <c r="W97" s="71"/>
      <c r="X97" s="70"/>
      <c r="Y97" s="71"/>
      <c r="Z97" s="72"/>
      <c r="AA97" s="73">
        <f>SUM(E97:Z97)</f>
        <v>0</v>
      </c>
      <c r="AB97" s="74"/>
      <c r="AC97" s="74"/>
      <c r="AD97" s="74"/>
      <c r="AE97" s="74"/>
      <c r="AF97" s="74"/>
      <c r="AG97" s="74"/>
    </row>
    <row r="98" spans="1:33" ht="15.75" thickBot="1" x14ac:dyDescent="0.3">
      <c r="A98" s="45"/>
      <c r="B98" s="199" t="s">
        <v>95</v>
      </c>
      <c r="C98" s="199"/>
      <c r="D98" s="46"/>
      <c r="E98" s="47"/>
      <c r="F98" s="47"/>
      <c r="G98" s="47"/>
      <c r="H98" s="47"/>
      <c r="I98" s="48"/>
      <c r="J98" s="48"/>
      <c r="K98" s="48"/>
      <c r="L98" s="47"/>
      <c r="M98" s="48"/>
      <c r="N98" s="47"/>
      <c r="O98" s="47"/>
      <c r="P98" s="47"/>
      <c r="Q98" s="47"/>
      <c r="R98" s="47"/>
      <c r="S98" s="48"/>
      <c r="T98" s="47"/>
      <c r="U98" s="47"/>
      <c r="V98" s="47"/>
      <c r="W98" s="48"/>
      <c r="X98" s="47"/>
      <c r="Y98" s="48"/>
      <c r="Z98" s="49"/>
      <c r="AA98" s="53">
        <f>SUM(E98:Z98)</f>
        <v>0</v>
      </c>
      <c r="AB98" s="74"/>
      <c r="AC98" s="74"/>
      <c r="AD98" s="74"/>
      <c r="AE98" s="74"/>
      <c r="AF98" s="74"/>
      <c r="AG98" s="74"/>
    </row>
    <row r="99" spans="1:33" ht="15.75" thickBot="1" x14ac:dyDescent="0.3">
      <c r="A99" s="205" t="s">
        <v>96</v>
      </c>
      <c r="B99" s="206"/>
      <c r="C99" s="206"/>
      <c r="D99" s="206"/>
      <c r="E99" s="54">
        <f t="shared" ref="E99:J99" si="22">E96*E5</f>
        <v>0</v>
      </c>
      <c r="F99" s="54">
        <f t="shared" si="22"/>
        <v>335818179.27383041</v>
      </c>
      <c r="G99" s="54">
        <f t="shared" si="22"/>
        <v>20988636.204614401</v>
      </c>
      <c r="H99" s="54">
        <f t="shared" si="22"/>
        <v>0</v>
      </c>
      <c r="I99" s="55">
        <f t="shared" si="22"/>
        <v>0</v>
      </c>
      <c r="J99" s="55">
        <f t="shared" si="22"/>
        <v>0</v>
      </c>
      <c r="K99" s="55"/>
      <c r="L99" s="54">
        <f>L96*L5</f>
        <v>0</v>
      </c>
      <c r="M99" s="55">
        <f>M96*M5</f>
        <v>0</v>
      </c>
      <c r="N99" s="54">
        <f t="shared" ref="N99:Z99" si="23">N96*N5</f>
        <v>0</v>
      </c>
      <c r="O99" s="54">
        <f t="shared" si="23"/>
        <v>9220146.4336393774</v>
      </c>
      <c r="P99" s="54">
        <f t="shared" si="23"/>
        <v>0</v>
      </c>
      <c r="Q99" s="54">
        <f t="shared" si="23"/>
        <v>0</v>
      </c>
      <c r="R99" s="54">
        <f t="shared" si="23"/>
        <v>0</v>
      </c>
      <c r="S99" s="55">
        <f t="shared" si="23"/>
        <v>0</v>
      </c>
      <c r="T99" s="54">
        <f t="shared" si="23"/>
        <v>11986424.76673382</v>
      </c>
      <c r="U99" s="54">
        <f t="shared" si="23"/>
        <v>0</v>
      </c>
      <c r="V99" s="54">
        <f t="shared" si="23"/>
        <v>0</v>
      </c>
      <c r="W99" s="55">
        <f t="shared" si="23"/>
        <v>0</v>
      </c>
      <c r="X99" s="54">
        <f t="shared" si="23"/>
        <v>0</v>
      </c>
      <c r="Y99" s="55">
        <f t="shared" si="23"/>
        <v>0</v>
      </c>
      <c r="Z99" s="56">
        <f t="shared" si="23"/>
        <v>0</v>
      </c>
      <c r="AA99" s="57">
        <f>SUM(E99:Z99)</f>
        <v>378013386.67881805</v>
      </c>
      <c r="AB99" s="77">
        <f t="shared" ref="AB99:AG99" si="24">AB96*AB5</f>
        <v>1675457.3795555555</v>
      </c>
      <c r="AC99" s="77">
        <f t="shared" si="24"/>
        <v>1001916.9564444446</v>
      </c>
      <c r="AD99" s="77">
        <f t="shared" si="24"/>
        <v>561526.41066666669</v>
      </c>
      <c r="AE99" s="77">
        <f t="shared" si="24"/>
        <v>407733.1377777778</v>
      </c>
      <c r="AF99" s="77">
        <f t="shared" si="24"/>
        <v>551031.56266666669</v>
      </c>
      <c r="AG99" s="77">
        <f t="shared" si="24"/>
        <v>1050751.5946666668</v>
      </c>
    </row>
    <row r="100" spans="1:33" ht="15.75" thickBot="1" x14ac:dyDescent="0.3">
      <c r="A100" s="20" t="s">
        <v>188</v>
      </c>
      <c r="B100" s="93" t="s">
        <v>98</v>
      </c>
      <c r="C100" s="22" t="s">
        <v>189</v>
      </c>
      <c r="D100" s="22" t="s">
        <v>190</v>
      </c>
      <c r="E100" s="94">
        <v>0</v>
      </c>
      <c r="F100" s="94">
        <v>1</v>
      </c>
      <c r="G100" s="94">
        <v>0</v>
      </c>
      <c r="H100" s="94">
        <v>0</v>
      </c>
      <c r="I100" s="95"/>
      <c r="J100" s="95">
        <v>0</v>
      </c>
      <c r="K100" s="24">
        <v>0</v>
      </c>
      <c r="L100" s="94">
        <v>0</v>
      </c>
      <c r="M100" s="95">
        <v>0</v>
      </c>
      <c r="N100" s="94">
        <v>0</v>
      </c>
      <c r="O100" s="94">
        <v>0</v>
      </c>
      <c r="P100" s="94">
        <v>0</v>
      </c>
      <c r="Q100" s="94">
        <v>0</v>
      </c>
      <c r="R100" s="94">
        <v>0</v>
      </c>
      <c r="S100" s="95">
        <v>0</v>
      </c>
      <c r="T100" s="94">
        <v>0</v>
      </c>
      <c r="U100" s="94">
        <v>0</v>
      </c>
      <c r="V100" s="94">
        <v>0</v>
      </c>
      <c r="W100" s="95">
        <v>0</v>
      </c>
      <c r="X100" s="94">
        <v>0</v>
      </c>
      <c r="Y100" s="95">
        <v>0</v>
      </c>
      <c r="Z100" s="96">
        <v>0</v>
      </c>
      <c r="AA100" s="3"/>
      <c r="AB100" s="26">
        <v>8</v>
      </c>
      <c r="AC100" s="26">
        <v>0</v>
      </c>
      <c r="AD100" s="26">
        <v>1</v>
      </c>
      <c r="AE100" s="26">
        <v>1</v>
      </c>
      <c r="AF100" s="26">
        <v>1</v>
      </c>
      <c r="AG100" s="26">
        <v>2</v>
      </c>
    </row>
    <row r="101" spans="1:33" ht="15.75" thickBot="1" x14ac:dyDescent="0.3">
      <c r="A101" s="28" t="s">
        <v>188</v>
      </c>
      <c r="B101" s="97" t="s">
        <v>38</v>
      </c>
      <c r="C101" s="30" t="s">
        <v>191</v>
      </c>
      <c r="D101" s="30" t="s">
        <v>190</v>
      </c>
      <c r="E101" s="98">
        <v>0</v>
      </c>
      <c r="F101" s="98">
        <v>1</v>
      </c>
      <c r="G101" s="98">
        <v>0</v>
      </c>
      <c r="H101" s="98">
        <v>0</v>
      </c>
      <c r="I101" s="99">
        <v>0</v>
      </c>
      <c r="J101" s="99">
        <v>0</v>
      </c>
      <c r="K101" s="24">
        <v>0</v>
      </c>
      <c r="L101" s="98">
        <v>0</v>
      </c>
      <c r="M101" s="99">
        <v>0</v>
      </c>
      <c r="N101" s="98">
        <v>0</v>
      </c>
      <c r="O101" s="98">
        <v>0</v>
      </c>
      <c r="P101" s="98">
        <v>1</v>
      </c>
      <c r="Q101" s="98">
        <v>0</v>
      </c>
      <c r="R101" s="98">
        <v>0</v>
      </c>
      <c r="S101" s="99">
        <v>0</v>
      </c>
      <c r="T101" s="98">
        <v>0</v>
      </c>
      <c r="U101" s="98">
        <v>0</v>
      </c>
      <c r="V101" s="98">
        <v>0</v>
      </c>
      <c r="W101" s="99">
        <v>0</v>
      </c>
      <c r="X101" s="98">
        <v>0</v>
      </c>
      <c r="Y101" s="99">
        <v>0</v>
      </c>
      <c r="Z101" s="100">
        <v>0</v>
      </c>
      <c r="AA101" s="3"/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</row>
    <row r="102" spans="1:33" ht="27.75" thickBot="1" x14ac:dyDescent="0.3">
      <c r="A102" s="28" t="s">
        <v>188</v>
      </c>
      <c r="B102" s="30" t="s">
        <v>38</v>
      </c>
      <c r="C102" s="30" t="s">
        <v>192</v>
      </c>
      <c r="D102" s="30" t="s">
        <v>190</v>
      </c>
      <c r="E102" s="98">
        <v>0</v>
      </c>
      <c r="F102" s="98">
        <v>0</v>
      </c>
      <c r="G102" s="98">
        <v>0</v>
      </c>
      <c r="H102" s="98">
        <v>0</v>
      </c>
      <c r="I102" s="99">
        <v>0</v>
      </c>
      <c r="J102" s="99">
        <v>0</v>
      </c>
      <c r="K102" s="24">
        <v>0</v>
      </c>
      <c r="L102" s="98">
        <v>0</v>
      </c>
      <c r="M102" s="99">
        <v>0</v>
      </c>
      <c r="N102" s="98">
        <v>0</v>
      </c>
      <c r="O102" s="98">
        <v>0</v>
      </c>
      <c r="P102" s="98">
        <v>0</v>
      </c>
      <c r="Q102" s="98">
        <v>0</v>
      </c>
      <c r="R102" s="98">
        <v>0</v>
      </c>
      <c r="S102" s="99">
        <v>0</v>
      </c>
      <c r="T102" s="98">
        <v>0</v>
      </c>
      <c r="U102" s="98">
        <v>0</v>
      </c>
      <c r="V102" s="98">
        <v>0</v>
      </c>
      <c r="W102" s="99">
        <v>0</v>
      </c>
      <c r="X102" s="98">
        <v>0</v>
      </c>
      <c r="Y102" s="99">
        <v>0</v>
      </c>
      <c r="Z102" s="100">
        <v>0</v>
      </c>
      <c r="AA102" s="3"/>
      <c r="AB102" s="26"/>
      <c r="AC102" s="26"/>
      <c r="AD102" s="26"/>
      <c r="AE102" s="26"/>
      <c r="AF102" s="26"/>
      <c r="AG102" s="26"/>
    </row>
    <row r="103" spans="1:33" ht="27.75" thickBot="1" x14ac:dyDescent="0.3">
      <c r="A103" s="28" t="s">
        <v>188</v>
      </c>
      <c r="B103" s="101" t="s">
        <v>193</v>
      </c>
      <c r="C103" s="30" t="s">
        <v>194</v>
      </c>
      <c r="D103" s="30" t="s">
        <v>190</v>
      </c>
      <c r="E103" s="98">
        <v>0</v>
      </c>
      <c r="F103" s="98">
        <v>3</v>
      </c>
      <c r="G103" s="98">
        <v>1</v>
      </c>
      <c r="H103" s="98">
        <v>0</v>
      </c>
      <c r="I103" s="99">
        <v>0</v>
      </c>
      <c r="J103" s="99">
        <v>0</v>
      </c>
      <c r="K103" s="24">
        <v>0</v>
      </c>
      <c r="L103" s="98">
        <v>0</v>
      </c>
      <c r="M103" s="99">
        <v>0</v>
      </c>
      <c r="N103" s="98">
        <v>2</v>
      </c>
      <c r="O103" s="98">
        <v>0</v>
      </c>
      <c r="P103" s="98">
        <v>0</v>
      </c>
      <c r="Q103" s="98">
        <v>0</v>
      </c>
      <c r="R103" s="98">
        <v>0</v>
      </c>
      <c r="S103" s="99">
        <v>0</v>
      </c>
      <c r="T103" s="98">
        <v>0</v>
      </c>
      <c r="U103" s="98">
        <v>0</v>
      </c>
      <c r="V103" s="98">
        <v>0</v>
      </c>
      <c r="W103" s="99">
        <v>0</v>
      </c>
      <c r="X103" s="98">
        <v>0</v>
      </c>
      <c r="Y103" s="99">
        <v>0</v>
      </c>
      <c r="Z103" s="100">
        <v>0</v>
      </c>
      <c r="AA103" s="3"/>
      <c r="AB103" s="26">
        <v>29</v>
      </c>
      <c r="AC103" s="26">
        <v>3</v>
      </c>
      <c r="AD103" s="26">
        <v>1</v>
      </c>
      <c r="AE103" s="26">
        <v>1</v>
      </c>
      <c r="AF103" s="26">
        <v>1</v>
      </c>
      <c r="AG103" s="26">
        <v>2</v>
      </c>
    </row>
    <row r="104" spans="1:33" ht="27.75" thickBot="1" x14ac:dyDescent="0.3">
      <c r="A104" s="28" t="s">
        <v>188</v>
      </c>
      <c r="B104" s="101" t="s">
        <v>193</v>
      </c>
      <c r="C104" s="30" t="s">
        <v>195</v>
      </c>
      <c r="D104" s="30" t="s">
        <v>196</v>
      </c>
      <c r="E104" s="98">
        <v>0</v>
      </c>
      <c r="F104" s="102">
        <v>1</v>
      </c>
      <c r="G104" s="102">
        <v>0</v>
      </c>
      <c r="H104" s="102">
        <v>0</v>
      </c>
      <c r="I104" s="99">
        <v>0</v>
      </c>
      <c r="J104" s="99">
        <v>0</v>
      </c>
      <c r="K104" s="24">
        <v>0</v>
      </c>
      <c r="L104" s="102">
        <v>0</v>
      </c>
      <c r="M104" s="99">
        <v>0</v>
      </c>
      <c r="N104" s="98">
        <v>0</v>
      </c>
      <c r="O104" s="98">
        <v>0</v>
      </c>
      <c r="P104" s="98">
        <v>1</v>
      </c>
      <c r="Q104" s="98">
        <v>0</v>
      </c>
      <c r="R104" s="98">
        <v>0</v>
      </c>
      <c r="S104" s="99">
        <v>0</v>
      </c>
      <c r="T104" s="98">
        <v>0</v>
      </c>
      <c r="U104" s="102">
        <v>0</v>
      </c>
      <c r="V104" s="102">
        <v>0</v>
      </c>
      <c r="W104" s="99">
        <v>0</v>
      </c>
      <c r="X104" s="98">
        <v>0</v>
      </c>
      <c r="Y104" s="99">
        <v>0</v>
      </c>
      <c r="Z104" s="100">
        <v>0</v>
      </c>
      <c r="AA104" s="3"/>
      <c r="AB104" s="35">
        <v>7</v>
      </c>
      <c r="AC104" s="35">
        <v>1</v>
      </c>
      <c r="AD104" s="35">
        <v>1</v>
      </c>
      <c r="AE104" s="35">
        <v>1</v>
      </c>
      <c r="AF104" s="35">
        <v>0</v>
      </c>
      <c r="AG104" s="35">
        <v>0</v>
      </c>
    </row>
    <row r="105" spans="1:33" ht="27.75" thickBot="1" x14ac:dyDescent="0.3">
      <c r="A105" s="28" t="s">
        <v>188</v>
      </c>
      <c r="B105" s="101" t="s">
        <v>197</v>
      </c>
      <c r="C105" s="30" t="s">
        <v>198</v>
      </c>
      <c r="D105" s="30" t="s">
        <v>190</v>
      </c>
      <c r="E105" s="98">
        <v>1</v>
      </c>
      <c r="F105" s="98">
        <v>1</v>
      </c>
      <c r="G105" s="98">
        <v>0</v>
      </c>
      <c r="H105" s="98">
        <v>0</v>
      </c>
      <c r="I105" s="99">
        <v>0</v>
      </c>
      <c r="J105" s="99">
        <v>0</v>
      </c>
      <c r="K105" s="24">
        <v>0</v>
      </c>
      <c r="L105" s="98">
        <v>0</v>
      </c>
      <c r="M105" s="99">
        <v>0</v>
      </c>
      <c r="N105" s="98">
        <v>0</v>
      </c>
      <c r="O105" s="98">
        <v>0</v>
      </c>
      <c r="P105" s="98">
        <v>0</v>
      </c>
      <c r="Q105" s="98">
        <v>0</v>
      </c>
      <c r="R105" s="98">
        <v>0</v>
      </c>
      <c r="S105" s="99">
        <v>0</v>
      </c>
      <c r="T105" s="98">
        <v>0</v>
      </c>
      <c r="U105" s="98">
        <v>0</v>
      </c>
      <c r="V105" s="98">
        <v>0</v>
      </c>
      <c r="W105" s="99">
        <v>0</v>
      </c>
      <c r="X105" s="98">
        <v>0</v>
      </c>
      <c r="Y105" s="99">
        <v>0</v>
      </c>
      <c r="Z105" s="100">
        <v>0</v>
      </c>
      <c r="AA105" s="3"/>
      <c r="AB105" s="26">
        <v>10</v>
      </c>
      <c r="AC105" s="26">
        <v>1</v>
      </c>
      <c r="AD105" s="26">
        <v>1</v>
      </c>
      <c r="AE105" s="26">
        <v>1</v>
      </c>
      <c r="AF105" s="26">
        <v>1</v>
      </c>
      <c r="AG105" s="26">
        <v>2</v>
      </c>
    </row>
    <row r="106" spans="1:33" ht="30.6" customHeight="1" thickBot="1" x14ac:dyDescent="0.3">
      <c r="A106" s="28" t="s">
        <v>188</v>
      </c>
      <c r="B106" s="101" t="s">
        <v>197</v>
      </c>
      <c r="C106" s="30" t="s">
        <v>199</v>
      </c>
      <c r="D106" s="30" t="s">
        <v>190</v>
      </c>
      <c r="E106" s="103">
        <v>0</v>
      </c>
      <c r="F106" s="103">
        <v>1</v>
      </c>
      <c r="G106" s="103">
        <v>0</v>
      </c>
      <c r="H106" s="103">
        <v>0</v>
      </c>
      <c r="I106" s="104">
        <v>0</v>
      </c>
      <c r="J106" s="104">
        <v>0</v>
      </c>
      <c r="K106" s="105">
        <v>0</v>
      </c>
      <c r="L106" s="103">
        <v>0</v>
      </c>
      <c r="M106" s="104">
        <v>0</v>
      </c>
      <c r="N106" s="103">
        <v>0</v>
      </c>
      <c r="O106" s="103">
        <v>0</v>
      </c>
      <c r="P106" s="103">
        <v>0</v>
      </c>
      <c r="Q106" s="103">
        <v>0</v>
      </c>
      <c r="R106" s="103">
        <v>0</v>
      </c>
      <c r="S106" s="104">
        <v>0</v>
      </c>
      <c r="T106" s="103">
        <v>0</v>
      </c>
      <c r="U106" s="103">
        <v>0</v>
      </c>
      <c r="V106" s="103">
        <v>0</v>
      </c>
      <c r="W106" s="104">
        <v>0</v>
      </c>
      <c r="X106" s="103">
        <v>0</v>
      </c>
      <c r="Y106" s="104">
        <v>0</v>
      </c>
      <c r="Z106" s="106">
        <v>0</v>
      </c>
      <c r="AA106" s="3"/>
      <c r="AB106" s="107">
        <v>4</v>
      </c>
      <c r="AC106" s="107">
        <v>0</v>
      </c>
      <c r="AD106" s="107">
        <v>1</v>
      </c>
      <c r="AE106" s="107">
        <v>1</v>
      </c>
      <c r="AF106" s="107">
        <v>0</v>
      </c>
      <c r="AG106" s="107">
        <v>1</v>
      </c>
    </row>
    <row r="107" spans="1:33" ht="17.45" customHeight="1" thickBot="1" x14ac:dyDescent="0.3">
      <c r="A107" s="28" t="s">
        <v>188</v>
      </c>
      <c r="B107" s="30" t="s">
        <v>197</v>
      </c>
      <c r="C107" s="30" t="s">
        <v>200</v>
      </c>
      <c r="D107" s="30" t="s">
        <v>201</v>
      </c>
      <c r="E107" s="108">
        <v>0</v>
      </c>
      <c r="F107" s="109">
        <v>0</v>
      </c>
      <c r="G107" s="109">
        <v>0</v>
      </c>
      <c r="H107" s="109">
        <v>0</v>
      </c>
      <c r="I107" s="110">
        <v>0</v>
      </c>
      <c r="J107" s="110">
        <v>0</v>
      </c>
      <c r="K107" s="111">
        <v>0</v>
      </c>
      <c r="L107" s="109">
        <v>0</v>
      </c>
      <c r="M107" s="110">
        <v>0</v>
      </c>
      <c r="N107" s="108">
        <v>0</v>
      </c>
      <c r="O107" s="108">
        <v>0</v>
      </c>
      <c r="P107" s="108">
        <v>0</v>
      </c>
      <c r="Q107" s="108">
        <v>0</v>
      </c>
      <c r="R107" s="108">
        <v>0</v>
      </c>
      <c r="S107" s="110">
        <v>0</v>
      </c>
      <c r="T107" s="108">
        <v>0</v>
      </c>
      <c r="U107" s="109">
        <v>0</v>
      </c>
      <c r="V107" s="109">
        <v>0</v>
      </c>
      <c r="W107" s="110">
        <v>0</v>
      </c>
      <c r="X107" s="108">
        <v>0</v>
      </c>
      <c r="Y107" s="110">
        <v>0</v>
      </c>
      <c r="Z107" s="112">
        <v>0</v>
      </c>
      <c r="AA107" s="3"/>
      <c r="AB107" s="113">
        <v>6</v>
      </c>
      <c r="AC107" s="113">
        <v>1</v>
      </c>
      <c r="AD107" s="113">
        <v>1</v>
      </c>
      <c r="AE107" s="113">
        <v>1</v>
      </c>
      <c r="AF107" s="113">
        <v>0</v>
      </c>
      <c r="AG107" s="113">
        <v>0</v>
      </c>
    </row>
    <row r="108" spans="1:33" ht="15.75" thickBot="1" x14ac:dyDescent="0.3">
      <c r="A108" s="28" t="s">
        <v>188</v>
      </c>
      <c r="B108" s="114" t="s">
        <v>202</v>
      </c>
      <c r="C108" s="30" t="s">
        <v>203</v>
      </c>
      <c r="D108" s="30" t="s">
        <v>190</v>
      </c>
      <c r="E108" s="98">
        <v>0</v>
      </c>
      <c r="F108" s="102">
        <v>1</v>
      </c>
      <c r="G108" s="102">
        <v>0</v>
      </c>
      <c r="H108" s="102">
        <v>0</v>
      </c>
      <c r="I108" s="99">
        <v>0</v>
      </c>
      <c r="J108" s="99">
        <v>0</v>
      </c>
      <c r="K108" s="24">
        <v>0</v>
      </c>
      <c r="L108" s="102">
        <v>0</v>
      </c>
      <c r="M108" s="99">
        <v>0</v>
      </c>
      <c r="N108" s="98">
        <v>0</v>
      </c>
      <c r="O108" s="98">
        <v>0</v>
      </c>
      <c r="P108" s="98">
        <v>0</v>
      </c>
      <c r="Q108" s="98">
        <v>0</v>
      </c>
      <c r="R108" s="98">
        <v>0</v>
      </c>
      <c r="S108" s="99">
        <v>0</v>
      </c>
      <c r="T108" s="98">
        <v>0</v>
      </c>
      <c r="U108" s="102">
        <v>0</v>
      </c>
      <c r="V108" s="102">
        <v>0</v>
      </c>
      <c r="W108" s="99">
        <v>0</v>
      </c>
      <c r="X108" s="98">
        <v>0</v>
      </c>
      <c r="Y108" s="99">
        <v>0</v>
      </c>
      <c r="Z108" s="100">
        <v>0</v>
      </c>
      <c r="AA108" s="3"/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</row>
    <row r="109" spans="1:33" ht="15.75" thickBot="1" x14ac:dyDescent="0.3">
      <c r="A109" s="28" t="s">
        <v>188</v>
      </c>
      <c r="B109" s="114" t="s">
        <v>202</v>
      </c>
      <c r="C109" s="30" t="s">
        <v>203</v>
      </c>
      <c r="D109" s="30" t="s">
        <v>190</v>
      </c>
      <c r="E109" s="98">
        <v>0</v>
      </c>
      <c r="F109" s="98">
        <v>13</v>
      </c>
      <c r="G109" s="98">
        <v>1</v>
      </c>
      <c r="H109" s="98">
        <v>2</v>
      </c>
      <c r="I109" s="99">
        <v>0</v>
      </c>
      <c r="J109" s="99">
        <v>0</v>
      </c>
      <c r="K109" s="24">
        <v>0</v>
      </c>
      <c r="L109" s="98">
        <v>1</v>
      </c>
      <c r="M109" s="99">
        <v>0</v>
      </c>
      <c r="N109" s="98">
        <v>0</v>
      </c>
      <c r="O109" s="98">
        <v>0</v>
      </c>
      <c r="P109" s="98">
        <v>0</v>
      </c>
      <c r="Q109" s="98">
        <v>0</v>
      </c>
      <c r="R109" s="98">
        <v>0</v>
      </c>
      <c r="S109" s="99">
        <v>0</v>
      </c>
      <c r="T109" s="98">
        <v>0</v>
      </c>
      <c r="U109" s="98">
        <v>1</v>
      </c>
      <c r="V109" s="98">
        <v>0</v>
      </c>
      <c r="W109" s="99">
        <v>0</v>
      </c>
      <c r="X109" s="98">
        <v>0</v>
      </c>
      <c r="Y109" s="99">
        <v>0</v>
      </c>
      <c r="Z109" s="100">
        <v>0</v>
      </c>
      <c r="AA109" s="3"/>
      <c r="AB109" s="26">
        <v>102</v>
      </c>
      <c r="AC109" s="26">
        <v>15</v>
      </c>
      <c r="AD109" s="26">
        <v>6</v>
      </c>
      <c r="AE109" s="26">
        <v>6</v>
      </c>
      <c r="AF109" s="26">
        <v>0</v>
      </c>
      <c r="AG109" s="26">
        <v>12</v>
      </c>
    </row>
    <row r="110" spans="1:33" ht="27.75" thickBot="1" x14ac:dyDescent="0.3">
      <c r="A110" s="28" t="s">
        <v>188</v>
      </c>
      <c r="B110" s="114" t="s">
        <v>204</v>
      </c>
      <c r="C110" s="30" t="s">
        <v>205</v>
      </c>
      <c r="D110" s="30" t="s">
        <v>206</v>
      </c>
      <c r="E110" s="98">
        <v>0</v>
      </c>
      <c r="F110" s="98">
        <v>2</v>
      </c>
      <c r="G110" s="98">
        <v>0</v>
      </c>
      <c r="H110" s="98">
        <v>0</v>
      </c>
      <c r="I110" s="99">
        <v>0</v>
      </c>
      <c r="J110" s="99">
        <v>0</v>
      </c>
      <c r="K110" s="24">
        <v>0</v>
      </c>
      <c r="L110" s="98">
        <v>0</v>
      </c>
      <c r="M110" s="99">
        <v>0</v>
      </c>
      <c r="N110" s="98">
        <v>0</v>
      </c>
      <c r="O110" s="98">
        <v>0</v>
      </c>
      <c r="P110" s="98">
        <v>0</v>
      </c>
      <c r="Q110" s="98">
        <v>0</v>
      </c>
      <c r="R110" s="98">
        <v>0</v>
      </c>
      <c r="S110" s="99">
        <v>0</v>
      </c>
      <c r="T110" s="98">
        <v>0</v>
      </c>
      <c r="U110" s="98">
        <v>0</v>
      </c>
      <c r="V110" s="98">
        <v>0</v>
      </c>
      <c r="W110" s="99">
        <v>0</v>
      </c>
      <c r="X110" s="98">
        <v>0</v>
      </c>
      <c r="Y110" s="99">
        <v>0</v>
      </c>
      <c r="Z110" s="100">
        <v>0</v>
      </c>
      <c r="AA110" s="38">
        <f>AA115*7.5</f>
        <v>2562594623.3571005</v>
      </c>
      <c r="AB110" s="26">
        <v>14</v>
      </c>
      <c r="AC110" s="26">
        <v>2</v>
      </c>
      <c r="AD110" s="26">
        <v>1</v>
      </c>
      <c r="AE110" s="26">
        <v>1</v>
      </c>
      <c r="AF110" s="26">
        <v>0</v>
      </c>
      <c r="AG110" s="26">
        <v>0</v>
      </c>
    </row>
    <row r="111" spans="1:33" ht="15.75" thickBot="1" x14ac:dyDescent="0.3">
      <c r="A111" s="62" t="s">
        <v>188</v>
      </c>
      <c r="B111" s="115" t="s">
        <v>204</v>
      </c>
      <c r="C111" s="64" t="s">
        <v>207</v>
      </c>
      <c r="D111" s="64" t="s">
        <v>208</v>
      </c>
      <c r="E111" s="116">
        <v>0</v>
      </c>
      <c r="F111" s="117">
        <v>1</v>
      </c>
      <c r="G111" s="117">
        <v>0</v>
      </c>
      <c r="H111" s="117">
        <v>0</v>
      </c>
      <c r="I111" s="118">
        <v>0</v>
      </c>
      <c r="J111" s="118">
        <v>0</v>
      </c>
      <c r="K111" s="24">
        <v>0</v>
      </c>
      <c r="L111" s="117">
        <v>0</v>
      </c>
      <c r="M111" s="118">
        <v>0</v>
      </c>
      <c r="N111" s="116">
        <v>0</v>
      </c>
      <c r="O111" s="116">
        <v>0</v>
      </c>
      <c r="P111" s="116">
        <v>0</v>
      </c>
      <c r="Q111" s="116">
        <v>0</v>
      </c>
      <c r="R111" s="116">
        <v>0</v>
      </c>
      <c r="S111" s="118">
        <v>0</v>
      </c>
      <c r="T111" s="116">
        <v>0</v>
      </c>
      <c r="U111" s="117">
        <v>0</v>
      </c>
      <c r="V111" s="117">
        <v>0</v>
      </c>
      <c r="W111" s="118">
        <v>0</v>
      </c>
      <c r="X111" s="116">
        <v>0</v>
      </c>
      <c r="Y111" s="118">
        <v>0</v>
      </c>
      <c r="Z111" s="119">
        <v>0</v>
      </c>
      <c r="AA111" s="3"/>
      <c r="AB111" s="35">
        <v>6</v>
      </c>
      <c r="AC111" s="35">
        <v>1</v>
      </c>
      <c r="AD111" s="35">
        <v>1</v>
      </c>
      <c r="AE111" s="35">
        <v>1</v>
      </c>
      <c r="AF111" s="35">
        <v>0</v>
      </c>
      <c r="AG111" s="35">
        <v>0</v>
      </c>
    </row>
    <row r="112" spans="1:33" ht="15.75" thickBot="1" x14ac:dyDescent="0.3">
      <c r="A112" s="202" t="s">
        <v>94</v>
      </c>
      <c r="B112" s="203"/>
      <c r="C112" s="203"/>
      <c r="D112" s="204"/>
      <c r="E112" s="39">
        <f>SUM(E100:E111)</f>
        <v>1</v>
      </c>
      <c r="F112" s="40">
        <f t="shared" ref="F112:AG112" si="25">SUM(F100:F111)</f>
        <v>25</v>
      </c>
      <c r="G112" s="40">
        <f t="shared" si="25"/>
        <v>2</v>
      </c>
      <c r="H112" s="40">
        <f t="shared" si="25"/>
        <v>2</v>
      </c>
      <c r="I112" s="41">
        <f t="shared" si="25"/>
        <v>0</v>
      </c>
      <c r="J112" s="41">
        <f t="shared" si="25"/>
        <v>0</v>
      </c>
      <c r="K112" s="41"/>
      <c r="L112" s="40">
        <f t="shared" si="25"/>
        <v>1</v>
      </c>
      <c r="M112" s="41">
        <f t="shared" si="25"/>
        <v>0</v>
      </c>
      <c r="N112" s="40">
        <f t="shared" si="25"/>
        <v>2</v>
      </c>
      <c r="O112" s="40">
        <f t="shared" si="25"/>
        <v>0</v>
      </c>
      <c r="P112" s="40">
        <f t="shared" si="25"/>
        <v>2</v>
      </c>
      <c r="Q112" s="40">
        <f t="shared" si="25"/>
        <v>0</v>
      </c>
      <c r="R112" s="40">
        <f t="shared" si="25"/>
        <v>0</v>
      </c>
      <c r="S112" s="41">
        <f t="shared" si="25"/>
        <v>0</v>
      </c>
      <c r="T112" s="40">
        <f t="shared" si="25"/>
        <v>0</v>
      </c>
      <c r="U112" s="40">
        <f t="shared" si="25"/>
        <v>1</v>
      </c>
      <c r="V112" s="40">
        <f t="shared" si="25"/>
        <v>0</v>
      </c>
      <c r="W112" s="41">
        <f t="shared" si="25"/>
        <v>0</v>
      </c>
      <c r="X112" s="40">
        <f t="shared" si="25"/>
        <v>0</v>
      </c>
      <c r="Y112" s="41">
        <f t="shared" si="25"/>
        <v>0</v>
      </c>
      <c r="Z112" s="42">
        <f t="shared" si="25"/>
        <v>0</v>
      </c>
      <c r="AA112" s="43">
        <f>SUM(E112:Z112)</f>
        <v>36</v>
      </c>
      <c r="AB112" s="44">
        <f t="shared" si="25"/>
        <v>186</v>
      </c>
      <c r="AC112" s="44">
        <f t="shared" si="25"/>
        <v>24</v>
      </c>
      <c r="AD112" s="44">
        <f t="shared" si="25"/>
        <v>14</v>
      </c>
      <c r="AE112" s="44">
        <f t="shared" si="25"/>
        <v>14</v>
      </c>
      <c r="AF112" s="44">
        <f t="shared" si="25"/>
        <v>3</v>
      </c>
      <c r="AG112" s="44">
        <f t="shared" si="25"/>
        <v>19</v>
      </c>
    </row>
    <row r="113" spans="1:33" s="75" customFormat="1" ht="15.75" thickBot="1" x14ac:dyDescent="0.3">
      <c r="A113" s="68"/>
      <c r="B113" s="69"/>
      <c r="C113" s="69"/>
      <c r="D113" s="69"/>
      <c r="E113" s="70"/>
      <c r="F113" s="70"/>
      <c r="G113" s="70"/>
      <c r="H113" s="70"/>
      <c r="I113" s="71"/>
      <c r="J113" s="71"/>
      <c r="K113" s="71"/>
      <c r="L113" s="70"/>
      <c r="M113" s="71"/>
      <c r="N113" s="70"/>
      <c r="O113" s="70"/>
      <c r="P113" s="70"/>
      <c r="Q113" s="70"/>
      <c r="R113" s="70"/>
      <c r="S113" s="71"/>
      <c r="T113" s="70"/>
      <c r="U113" s="70"/>
      <c r="V113" s="70"/>
      <c r="W113" s="71"/>
      <c r="X113" s="70"/>
      <c r="Y113" s="71"/>
      <c r="Z113" s="72"/>
      <c r="AA113" s="73">
        <f>SUM(E113:Z113)</f>
        <v>0</v>
      </c>
      <c r="AB113" s="74"/>
      <c r="AC113" s="74"/>
      <c r="AD113" s="74"/>
      <c r="AE113" s="74"/>
      <c r="AF113" s="74"/>
      <c r="AG113" s="74"/>
    </row>
    <row r="114" spans="1:33" ht="15.75" thickBot="1" x14ac:dyDescent="0.3">
      <c r="A114" s="45"/>
      <c r="B114" s="199" t="s">
        <v>95</v>
      </c>
      <c r="C114" s="199"/>
      <c r="D114" s="46"/>
      <c r="E114" s="47"/>
      <c r="F114" s="47"/>
      <c r="G114" s="47"/>
      <c r="H114" s="47"/>
      <c r="I114" s="48"/>
      <c r="J114" s="48"/>
      <c r="K114" s="48"/>
      <c r="L114" s="47"/>
      <c r="M114" s="48"/>
      <c r="N114" s="47"/>
      <c r="O114" s="47"/>
      <c r="P114" s="47"/>
      <c r="Q114" s="47"/>
      <c r="R114" s="47"/>
      <c r="S114" s="48"/>
      <c r="T114" s="47"/>
      <c r="U114" s="47"/>
      <c r="V114" s="47"/>
      <c r="W114" s="48"/>
      <c r="X114" s="47"/>
      <c r="Y114" s="48"/>
      <c r="Z114" s="49"/>
      <c r="AA114" s="53">
        <f>SUM(E114:Z114)</f>
        <v>0</v>
      </c>
      <c r="AB114" s="74"/>
      <c r="AC114" s="74"/>
      <c r="AD114" s="74"/>
      <c r="AE114" s="74"/>
      <c r="AF114" s="74"/>
      <c r="AG114" s="74"/>
    </row>
    <row r="115" spans="1:33" ht="15.75" thickBot="1" x14ac:dyDescent="0.3">
      <c r="A115" s="205" t="s">
        <v>96</v>
      </c>
      <c r="B115" s="206"/>
      <c r="C115" s="206"/>
      <c r="D115" s="206"/>
      <c r="E115" s="54">
        <f t="shared" ref="E115:J115" si="26">E112*E5</f>
        <v>10688657.326424001</v>
      </c>
      <c r="F115" s="54">
        <f t="shared" si="26"/>
        <v>262357952.55768001</v>
      </c>
      <c r="G115" s="54">
        <f t="shared" si="26"/>
        <v>20988636.204614401</v>
      </c>
      <c r="H115" s="54">
        <f t="shared" si="26"/>
        <v>21571653.876964804</v>
      </c>
      <c r="I115" s="55">
        <f t="shared" si="26"/>
        <v>0</v>
      </c>
      <c r="J115" s="55">
        <f t="shared" si="26"/>
        <v>0</v>
      </c>
      <c r="K115" s="55"/>
      <c r="L115" s="54">
        <f>L112*L5</f>
        <v>6494265.6532750521</v>
      </c>
      <c r="M115" s="55">
        <f>M112*M5</f>
        <v>0</v>
      </c>
      <c r="N115" s="54">
        <f t="shared" ref="N115:Z115" si="27">N112*N5</f>
        <v>9741398.4799125772</v>
      </c>
      <c r="O115" s="54">
        <f t="shared" si="27"/>
        <v>0</v>
      </c>
      <c r="P115" s="54">
        <f t="shared" si="27"/>
        <v>5762591.5210246108</v>
      </c>
      <c r="Q115" s="54">
        <f t="shared" si="27"/>
        <v>0</v>
      </c>
      <c r="R115" s="54">
        <f t="shared" si="27"/>
        <v>0</v>
      </c>
      <c r="S115" s="55">
        <f t="shared" si="27"/>
        <v>0</v>
      </c>
      <c r="T115" s="54">
        <f t="shared" si="27"/>
        <v>0</v>
      </c>
      <c r="U115" s="54">
        <f t="shared" si="27"/>
        <v>4074127.4943845952</v>
      </c>
      <c r="V115" s="54">
        <f t="shared" si="27"/>
        <v>0</v>
      </c>
      <c r="W115" s="55">
        <f t="shared" si="27"/>
        <v>0</v>
      </c>
      <c r="X115" s="54">
        <f t="shared" si="27"/>
        <v>0</v>
      </c>
      <c r="Y115" s="55">
        <f t="shared" si="27"/>
        <v>0</v>
      </c>
      <c r="Z115" s="56">
        <f t="shared" si="27"/>
        <v>0</v>
      </c>
      <c r="AA115" s="57">
        <f>SUM(E115:Z115)</f>
        <v>341679283.11428005</v>
      </c>
      <c r="AB115" s="77">
        <f t="shared" ref="AB115:AG115" si="28">AB112*AB5</f>
        <v>2996491.0826666667</v>
      </c>
      <c r="AC115" s="77">
        <f t="shared" si="28"/>
        <v>1502875.4346666669</v>
      </c>
      <c r="AD115" s="77">
        <f t="shared" si="28"/>
        <v>1123052.8213333334</v>
      </c>
      <c r="AE115" s="77">
        <f t="shared" si="28"/>
        <v>815466.27555555559</v>
      </c>
      <c r="AF115" s="77">
        <f t="shared" si="28"/>
        <v>551031.56266666669</v>
      </c>
      <c r="AG115" s="77">
        <f t="shared" si="28"/>
        <v>1174369.4293333334</v>
      </c>
    </row>
    <row r="116" spans="1:33" ht="27.75" thickBot="1" x14ac:dyDescent="0.3">
      <c r="A116" s="20" t="s">
        <v>209</v>
      </c>
      <c r="B116" s="120" t="s">
        <v>210</v>
      </c>
      <c r="C116" s="121" t="s">
        <v>211</v>
      </c>
      <c r="D116" s="121" t="s">
        <v>212</v>
      </c>
      <c r="E116" s="23">
        <v>0</v>
      </c>
      <c r="F116" s="23">
        <v>1</v>
      </c>
      <c r="G116" s="23">
        <v>0</v>
      </c>
      <c r="H116" s="23">
        <v>0</v>
      </c>
      <c r="I116" s="24">
        <v>0</v>
      </c>
      <c r="J116" s="24">
        <v>0</v>
      </c>
      <c r="K116" s="24">
        <v>0</v>
      </c>
      <c r="L116" s="23">
        <v>0</v>
      </c>
      <c r="M116" s="24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4">
        <v>0</v>
      </c>
      <c r="T116" s="23">
        <v>0</v>
      </c>
      <c r="U116" s="23">
        <v>0</v>
      </c>
      <c r="V116" s="23">
        <v>0</v>
      </c>
      <c r="W116" s="24">
        <v>0</v>
      </c>
      <c r="X116" s="23">
        <v>0</v>
      </c>
      <c r="Y116" s="24">
        <v>0</v>
      </c>
      <c r="Z116" s="25">
        <v>0</v>
      </c>
      <c r="AA116" s="3"/>
      <c r="AB116" s="26">
        <v>28</v>
      </c>
      <c r="AC116" s="26">
        <v>2</v>
      </c>
      <c r="AD116" s="26">
        <v>1</v>
      </c>
      <c r="AE116" s="26">
        <v>1</v>
      </c>
      <c r="AF116" s="26">
        <v>1</v>
      </c>
      <c r="AG116" s="26">
        <v>0</v>
      </c>
    </row>
    <row r="117" spans="1:33" ht="27.75" thickBot="1" x14ac:dyDescent="0.3">
      <c r="A117" s="28" t="s">
        <v>209</v>
      </c>
      <c r="B117" s="122" t="s">
        <v>210</v>
      </c>
      <c r="C117" s="123" t="s">
        <v>213</v>
      </c>
      <c r="D117" s="123" t="s">
        <v>212</v>
      </c>
      <c r="E117" s="31">
        <v>0</v>
      </c>
      <c r="F117" s="31">
        <v>2</v>
      </c>
      <c r="G117" s="31">
        <v>0</v>
      </c>
      <c r="H117" s="31">
        <v>0</v>
      </c>
      <c r="I117" s="32">
        <v>0</v>
      </c>
      <c r="J117" s="32">
        <v>0</v>
      </c>
      <c r="K117" s="24">
        <v>0</v>
      </c>
      <c r="L117" s="31">
        <v>0</v>
      </c>
      <c r="M117" s="32">
        <v>0</v>
      </c>
      <c r="N117" s="31">
        <v>2</v>
      </c>
      <c r="O117" s="31">
        <v>0</v>
      </c>
      <c r="P117" s="31">
        <v>0</v>
      </c>
      <c r="Q117" s="31">
        <v>0</v>
      </c>
      <c r="R117" s="31">
        <v>0</v>
      </c>
      <c r="S117" s="32">
        <v>0</v>
      </c>
      <c r="T117" s="31">
        <v>0</v>
      </c>
      <c r="U117" s="31">
        <v>0</v>
      </c>
      <c r="V117" s="31">
        <v>0</v>
      </c>
      <c r="W117" s="32">
        <v>0</v>
      </c>
      <c r="X117" s="31">
        <v>0</v>
      </c>
      <c r="Y117" s="32">
        <v>0</v>
      </c>
      <c r="Z117" s="33">
        <v>0</v>
      </c>
      <c r="AA117" s="3"/>
      <c r="AB117" s="26">
        <v>8</v>
      </c>
      <c r="AC117" s="26">
        <v>1</v>
      </c>
      <c r="AD117" s="26">
        <v>1</v>
      </c>
      <c r="AE117" s="26">
        <v>1</v>
      </c>
      <c r="AF117" s="26"/>
      <c r="AG117" s="26">
        <v>1</v>
      </c>
    </row>
    <row r="118" spans="1:33" ht="27.75" thickBot="1" x14ac:dyDescent="0.3">
      <c r="A118" s="28" t="s">
        <v>209</v>
      </c>
      <c r="B118" s="122" t="s">
        <v>210</v>
      </c>
      <c r="C118" s="123" t="s">
        <v>214</v>
      </c>
      <c r="D118" s="123" t="s">
        <v>212</v>
      </c>
      <c r="E118" s="31">
        <v>0</v>
      </c>
      <c r="F118" s="31">
        <v>0</v>
      </c>
      <c r="G118" s="31">
        <v>0</v>
      </c>
      <c r="H118" s="31">
        <v>0</v>
      </c>
      <c r="I118" s="32">
        <v>0</v>
      </c>
      <c r="J118" s="32">
        <v>0</v>
      </c>
      <c r="K118" s="24">
        <v>0</v>
      </c>
      <c r="L118" s="31">
        <v>0</v>
      </c>
      <c r="M118" s="32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2">
        <v>0</v>
      </c>
      <c r="T118" s="31">
        <v>0</v>
      </c>
      <c r="U118" s="31">
        <v>0</v>
      </c>
      <c r="V118" s="31">
        <v>0</v>
      </c>
      <c r="W118" s="32">
        <v>0</v>
      </c>
      <c r="X118" s="31">
        <v>1</v>
      </c>
      <c r="Y118" s="32">
        <v>0</v>
      </c>
      <c r="Z118" s="33">
        <v>0</v>
      </c>
      <c r="AA118" s="3"/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</row>
    <row r="119" spans="1:33" ht="41.25" thickBot="1" x14ac:dyDescent="0.3">
      <c r="A119" s="28" t="s">
        <v>209</v>
      </c>
      <c r="B119" s="122" t="s">
        <v>210</v>
      </c>
      <c r="C119" s="123" t="s">
        <v>215</v>
      </c>
      <c r="D119" s="123" t="s">
        <v>212</v>
      </c>
      <c r="E119" s="31">
        <v>0</v>
      </c>
      <c r="F119" s="31">
        <v>0</v>
      </c>
      <c r="G119" s="31">
        <v>0</v>
      </c>
      <c r="H119" s="31">
        <v>0</v>
      </c>
      <c r="I119" s="32">
        <v>0</v>
      </c>
      <c r="J119" s="32">
        <v>0</v>
      </c>
      <c r="K119" s="24">
        <v>0</v>
      </c>
      <c r="L119" s="31">
        <v>0</v>
      </c>
      <c r="M119" s="32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2">
        <v>0</v>
      </c>
      <c r="T119" s="31">
        <v>0</v>
      </c>
      <c r="U119" s="31">
        <v>0</v>
      </c>
      <c r="V119" s="31">
        <v>0</v>
      </c>
      <c r="W119" s="32">
        <v>0</v>
      </c>
      <c r="X119" s="31">
        <v>0</v>
      </c>
      <c r="Y119" s="32">
        <v>0</v>
      </c>
      <c r="Z119" s="33">
        <v>0</v>
      </c>
      <c r="AA119" s="3"/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</row>
    <row r="120" spans="1:33" ht="27.75" thickBot="1" x14ac:dyDescent="0.3">
      <c r="A120" s="28" t="s">
        <v>209</v>
      </c>
      <c r="B120" s="122" t="s">
        <v>210</v>
      </c>
      <c r="C120" s="123" t="s">
        <v>216</v>
      </c>
      <c r="D120" s="123" t="s">
        <v>212</v>
      </c>
      <c r="E120" s="31">
        <v>0</v>
      </c>
      <c r="F120" s="31">
        <v>1</v>
      </c>
      <c r="G120" s="31">
        <v>0</v>
      </c>
      <c r="H120" s="31">
        <v>0</v>
      </c>
      <c r="I120" s="32">
        <v>0</v>
      </c>
      <c r="J120" s="32">
        <v>0</v>
      </c>
      <c r="K120" s="24">
        <v>0</v>
      </c>
      <c r="L120" s="31">
        <v>0</v>
      </c>
      <c r="M120" s="32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2">
        <v>0</v>
      </c>
      <c r="T120" s="31">
        <v>0</v>
      </c>
      <c r="U120" s="31">
        <v>0</v>
      </c>
      <c r="V120" s="31">
        <v>0</v>
      </c>
      <c r="W120" s="32">
        <v>0</v>
      </c>
      <c r="X120" s="31">
        <v>0</v>
      </c>
      <c r="Y120" s="32">
        <v>0</v>
      </c>
      <c r="Z120" s="33">
        <v>0</v>
      </c>
      <c r="AA120" s="3"/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</row>
    <row r="121" spans="1:33" ht="27.75" thickBot="1" x14ac:dyDescent="0.3">
      <c r="A121" s="28" t="s">
        <v>209</v>
      </c>
      <c r="B121" s="122" t="s">
        <v>210</v>
      </c>
      <c r="C121" s="123" t="s">
        <v>217</v>
      </c>
      <c r="D121" s="123" t="s">
        <v>212</v>
      </c>
      <c r="E121" s="31">
        <v>0</v>
      </c>
      <c r="F121" s="31">
        <v>0</v>
      </c>
      <c r="G121" s="31">
        <v>0</v>
      </c>
      <c r="H121" s="31">
        <v>0</v>
      </c>
      <c r="I121" s="32">
        <v>0</v>
      </c>
      <c r="J121" s="32">
        <v>0</v>
      </c>
      <c r="K121" s="24">
        <v>0</v>
      </c>
      <c r="L121" s="31">
        <v>0</v>
      </c>
      <c r="M121" s="32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2">
        <v>0</v>
      </c>
      <c r="T121" s="31">
        <v>0</v>
      </c>
      <c r="U121" s="31">
        <v>0</v>
      </c>
      <c r="V121" s="31">
        <v>0</v>
      </c>
      <c r="W121" s="32">
        <v>0</v>
      </c>
      <c r="X121" s="31">
        <v>0</v>
      </c>
      <c r="Y121" s="32">
        <v>0</v>
      </c>
      <c r="Z121" s="33">
        <v>0</v>
      </c>
      <c r="AA121" s="38">
        <f>AA126*7.5</f>
        <v>483885192.7489382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</row>
    <row r="122" spans="1:33" ht="27.75" thickBot="1" x14ac:dyDescent="0.3">
      <c r="A122" s="62" t="s">
        <v>209</v>
      </c>
      <c r="B122" s="124" t="s">
        <v>210</v>
      </c>
      <c r="C122" s="125" t="s">
        <v>218</v>
      </c>
      <c r="D122" s="125" t="s">
        <v>219</v>
      </c>
      <c r="E122" s="65">
        <v>0</v>
      </c>
      <c r="F122" s="65">
        <v>1</v>
      </c>
      <c r="G122" s="65">
        <v>0</v>
      </c>
      <c r="H122" s="65">
        <v>0</v>
      </c>
      <c r="I122" s="66">
        <v>0</v>
      </c>
      <c r="J122" s="66">
        <v>0</v>
      </c>
      <c r="K122" s="24">
        <v>0</v>
      </c>
      <c r="L122" s="65">
        <v>0</v>
      </c>
      <c r="M122" s="66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6">
        <v>0</v>
      </c>
      <c r="T122" s="65">
        <v>0</v>
      </c>
      <c r="U122" s="65">
        <v>0</v>
      </c>
      <c r="V122" s="65">
        <v>0</v>
      </c>
      <c r="W122" s="66">
        <v>0</v>
      </c>
      <c r="X122" s="65">
        <v>0</v>
      </c>
      <c r="Y122" s="66">
        <v>0</v>
      </c>
      <c r="Z122" s="67">
        <v>0</v>
      </c>
      <c r="AA122" s="3"/>
      <c r="AB122" s="26">
        <v>15</v>
      </c>
      <c r="AC122" s="26">
        <v>5</v>
      </c>
      <c r="AD122" s="26">
        <v>3</v>
      </c>
      <c r="AE122" s="26">
        <v>2</v>
      </c>
      <c r="AF122" s="26">
        <v>1</v>
      </c>
      <c r="AG122" s="26">
        <v>8</v>
      </c>
    </row>
    <row r="123" spans="1:33" ht="15.75" thickBot="1" x14ac:dyDescent="0.3">
      <c r="A123" s="202" t="s">
        <v>94</v>
      </c>
      <c r="B123" s="203"/>
      <c r="C123" s="203"/>
      <c r="D123" s="204"/>
      <c r="E123" s="39">
        <f>SUM(E116:E122)</f>
        <v>0</v>
      </c>
      <c r="F123" s="40">
        <f t="shared" ref="F123:AG123" si="29">SUM(F116:F122)</f>
        <v>5</v>
      </c>
      <c r="G123" s="40">
        <f t="shared" si="29"/>
        <v>0</v>
      </c>
      <c r="H123" s="40">
        <f t="shared" si="29"/>
        <v>0</v>
      </c>
      <c r="I123" s="41">
        <f t="shared" si="29"/>
        <v>0</v>
      </c>
      <c r="J123" s="41">
        <f t="shared" si="29"/>
        <v>0</v>
      </c>
      <c r="K123" s="41"/>
      <c r="L123" s="40">
        <f t="shared" si="29"/>
        <v>0</v>
      </c>
      <c r="M123" s="41">
        <f t="shared" si="29"/>
        <v>0</v>
      </c>
      <c r="N123" s="40">
        <f t="shared" si="29"/>
        <v>2</v>
      </c>
      <c r="O123" s="40">
        <f t="shared" si="29"/>
        <v>0</v>
      </c>
      <c r="P123" s="40">
        <f t="shared" si="29"/>
        <v>0</v>
      </c>
      <c r="Q123" s="40">
        <f t="shared" si="29"/>
        <v>0</v>
      </c>
      <c r="R123" s="40">
        <f t="shared" si="29"/>
        <v>0</v>
      </c>
      <c r="S123" s="41">
        <f t="shared" si="29"/>
        <v>0</v>
      </c>
      <c r="T123" s="40">
        <f t="shared" si="29"/>
        <v>0</v>
      </c>
      <c r="U123" s="40">
        <f t="shared" si="29"/>
        <v>0</v>
      </c>
      <c r="V123" s="40">
        <f t="shared" si="29"/>
        <v>0</v>
      </c>
      <c r="W123" s="41">
        <f t="shared" si="29"/>
        <v>0</v>
      </c>
      <c r="X123" s="40">
        <f t="shared" si="29"/>
        <v>1</v>
      </c>
      <c r="Y123" s="41">
        <f t="shared" si="29"/>
        <v>0</v>
      </c>
      <c r="Z123" s="42">
        <f t="shared" si="29"/>
        <v>0</v>
      </c>
      <c r="AA123" s="43">
        <f>SUM(E123:Z123)</f>
        <v>8</v>
      </c>
      <c r="AB123" s="44">
        <f t="shared" si="29"/>
        <v>51</v>
      </c>
      <c r="AC123" s="44">
        <f t="shared" si="29"/>
        <v>8</v>
      </c>
      <c r="AD123" s="44">
        <f t="shared" si="29"/>
        <v>5</v>
      </c>
      <c r="AE123" s="44">
        <f t="shared" si="29"/>
        <v>4</v>
      </c>
      <c r="AF123" s="44">
        <f t="shared" si="29"/>
        <v>2</v>
      </c>
      <c r="AG123" s="44">
        <f t="shared" si="29"/>
        <v>9</v>
      </c>
    </row>
    <row r="124" spans="1:33" s="75" customFormat="1" ht="15.75" thickBot="1" x14ac:dyDescent="0.3">
      <c r="A124" s="68"/>
      <c r="B124" s="69"/>
      <c r="C124" s="69"/>
      <c r="D124" s="69"/>
      <c r="E124" s="70"/>
      <c r="F124" s="70"/>
      <c r="G124" s="70"/>
      <c r="H124" s="70"/>
      <c r="I124" s="71"/>
      <c r="J124" s="71"/>
      <c r="K124" s="71"/>
      <c r="L124" s="70"/>
      <c r="M124" s="71"/>
      <c r="N124" s="70"/>
      <c r="O124" s="70"/>
      <c r="P124" s="70"/>
      <c r="Q124" s="70"/>
      <c r="R124" s="70"/>
      <c r="S124" s="71"/>
      <c r="T124" s="70"/>
      <c r="U124" s="70"/>
      <c r="V124" s="70"/>
      <c r="W124" s="71"/>
      <c r="X124" s="70"/>
      <c r="Y124" s="71"/>
      <c r="Z124" s="72"/>
      <c r="AA124" s="73">
        <f>SUM(E124:Z124)</f>
        <v>0</v>
      </c>
      <c r="AB124" s="74"/>
      <c r="AC124" s="74"/>
      <c r="AD124" s="74"/>
      <c r="AE124" s="74"/>
      <c r="AF124" s="74"/>
      <c r="AG124" s="74"/>
    </row>
    <row r="125" spans="1:33" ht="15.75" thickBot="1" x14ac:dyDescent="0.3">
      <c r="A125" s="45"/>
      <c r="B125" s="199" t="s">
        <v>95</v>
      </c>
      <c r="C125" s="199"/>
      <c r="D125" s="46"/>
      <c r="E125" s="47"/>
      <c r="F125" s="47"/>
      <c r="G125" s="47"/>
      <c r="H125" s="47"/>
      <c r="I125" s="48"/>
      <c r="J125" s="48"/>
      <c r="K125" s="48"/>
      <c r="L125" s="47"/>
      <c r="M125" s="48"/>
      <c r="N125" s="47"/>
      <c r="O125" s="47"/>
      <c r="P125" s="47"/>
      <c r="Q125" s="47"/>
      <c r="R125" s="47"/>
      <c r="S125" s="48"/>
      <c r="T125" s="47"/>
      <c r="U125" s="47"/>
      <c r="V125" s="47"/>
      <c r="W125" s="48"/>
      <c r="X125" s="47"/>
      <c r="Y125" s="48"/>
      <c r="Z125" s="49"/>
      <c r="AA125" s="53">
        <f>SUM(E125:Z125)</f>
        <v>0</v>
      </c>
      <c r="AB125" s="74"/>
      <c r="AC125" s="74"/>
      <c r="AD125" s="74"/>
      <c r="AE125" s="74"/>
      <c r="AF125" s="74"/>
      <c r="AG125" s="74"/>
    </row>
    <row r="126" spans="1:33" ht="15.75" thickBot="1" x14ac:dyDescent="0.3">
      <c r="A126" s="205" t="s">
        <v>96</v>
      </c>
      <c r="B126" s="206"/>
      <c r="C126" s="206"/>
      <c r="D126" s="206"/>
      <c r="E126" s="126">
        <f t="shared" ref="E126:J126" si="30">E123*E5</f>
        <v>0</v>
      </c>
      <c r="F126" s="126">
        <f t="shared" si="30"/>
        <v>52471590.511536002</v>
      </c>
      <c r="G126" s="126">
        <f t="shared" si="30"/>
        <v>0</v>
      </c>
      <c r="H126" s="126">
        <f t="shared" si="30"/>
        <v>0</v>
      </c>
      <c r="I126" s="127">
        <f t="shared" si="30"/>
        <v>0</v>
      </c>
      <c r="J126" s="127">
        <f t="shared" si="30"/>
        <v>0</v>
      </c>
      <c r="K126" s="127"/>
      <c r="L126" s="126">
        <f>L123*L5</f>
        <v>0</v>
      </c>
      <c r="M126" s="127">
        <f>M123*M5</f>
        <v>0</v>
      </c>
      <c r="N126" s="126">
        <f t="shared" ref="N126:Z126" si="31">N123*N5</f>
        <v>9741398.4799125772</v>
      </c>
      <c r="O126" s="126">
        <f t="shared" si="31"/>
        <v>0</v>
      </c>
      <c r="P126" s="126">
        <f t="shared" si="31"/>
        <v>0</v>
      </c>
      <c r="Q126" s="126">
        <f t="shared" si="31"/>
        <v>0</v>
      </c>
      <c r="R126" s="126">
        <f t="shared" si="31"/>
        <v>0</v>
      </c>
      <c r="S126" s="127">
        <f t="shared" si="31"/>
        <v>0</v>
      </c>
      <c r="T126" s="126">
        <f t="shared" si="31"/>
        <v>0</v>
      </c>
      <c r="U126" s="126">
        <f t="shared" si="31"/>
        <v>0</v>
      </c>
      <c r="V126" s="126">
        <f t="shared" si="31"/>
        <v>0</v>
      </c>
      <c r="W126" s="127">
        <f t="shared" si="31"/>
        <v>0</v>
      </c>
      <c r="X126" s="126">
        <f t="shared" si="31"/>
        <v>2305036.6084098443</v>
      </c>
      <c r="Y126" s="127">
        <f t="shared" si="31"/>
        <v>0</v>
      </c>
      <c r="Z126" s="128">
        <f t="shared" si="31"/>
        <v>0</v>
      </c>
      <c r="AA126" s="57">
        <f>SUM(E126:Z126)+0.1</f>
        <v>64518025.699858427</v>
      </c>
      <c r="AB126" s="129">
        <f>AB123*AB2</f>
        <v>690435.7333333334</v>
      </c>
      <c r="AC126" s="129">
        <f t="shared" ref="AC126:AG126" si="32">AC123*AC2</f>
        <v>420973.51111111115</v>
      </c>
      <c r="AD126" s="129">
        <f t="shared" si="32"/>
        <v>337050.66666666663</v>
      </c>
      <c r="AE126" s="129">
        <f t="shared" si="32"/>
        <v>195790.22222222222</v>
      </c>
      <c r="AF126" s="129">
        <f t="shared" si="32"/>
        <v>308701.15555555554</v>
      </c>
      <c r="AG126" s="129">
        <f t="shared" si="32"/>
        <v>467462.40000000002</v>
      </c>
    </row>
    <row r="127" spans="1:33" ht="27.75" thickBot="1" x14ac:dyDescent="0.3">
      <c r="A127" s="20" t="s">
        <v>220</v>
      </c>
      <c r="B127" s="120" t="s">
        <v>221</v>
      </c>
      <c r="C127" s="121" t="s">
        <v>222</v>
      </c>
      <c r="D127" s="121" t="s">
        <v>223</v>
      </c>
      <c r="E127" s="130">
        <v>0</v>
      </c>
      <c r="F127" s="130">
        <v>9</v>
      </c>
      <c r="G127" s="130">
        <v>0</v>
      </c>
      <c r="H127" s="130">
        <v>0</v>
      </c>
      <c r="I127" s="131">
        <v>0</v>
      </c>
      <c r="J127" s="131">
        <v>0</v>
      </c>
      <c r="K127" s="24">
        <v>0</v>
      </c>
      <c r="L127" s="130">
        <v>0</v>
      </c>
      <c r="M127" s="131">
        <v>0</v>
      </c>
      <c r="N127" s="130">
        <v>0</v>
      </c>
      <c r="O127" s="130">
        <v>0</v>
      </c>
      <c r="P127" s="130">
        <v>0</v>
      </c>
      <c r="Q127" s="130">
        <v>0</v>
      </c>
      <c r="R127" s="130">
        <v>0</v>
      </c>
      <c r="S127" s="131">
        <v>0</v>
      </c>
      <c r="T127" s="130">
        <v>0</v>
      </c>
      <c r="U127" s="130">
        <v>0</v>
      </c>
      <c r="V127" s="130">
        <v>0</v>
      </c>
      <c r="W127" s="131">
        <v>0</v>
      </c>
      <c r="X127" s="130">
        <v>0</v>
      </c>
      <c r="Y127" s="131">
        <v>0</v>
      </c>
      <c r="Z127" s="132">
        <v>0</v>
      </c>
      <c r="AA127" s="3"/>
      <c r="AB127" s="27">
        <f>38</f>
        <v>38</v>
      </c>
      <c r="AC127" s="26">
        <f>4</f>
        <v>4</v>
      </c>
      <c r="AD127" s="26">
        <v>2</v>
      </c>
      <c r="AE127" s="26">
        <v>2</v>
      </c>
      <c r="AF127" s="26">
        <v>1</v>
      </c>
      <c r="AG127" s="26">
        <f>3</f>
        <v>3</v>
      </c>
    </row>
    <row r="128" spans="1:33" ht="27.75" thickBot="1" x14ac:dyDescent="0.3">
      <c r="A128" s="28" t="s">
        <v>220</v>
      </c>
      <c r="B128" s="122" t="s">
        <v>224</v>
      </c>
      <c r="C128" s="123" t="s">
        <v>225</v>
      </c>
      <c r="D128" s="123" t="s">
        <v>223</v>
      </c>
      <c r="E128" s="31">
        <v>0</v>
      </c>
      <c r="F128" s="31">
        <v>1</v>
      </c>
      <c r="G128" s="31">
        <v>0</v>
      </c>
      <c r="H128" s="31">
        <v>0</v>
      </c>
      <c r="I128" s="32">
        <v>0</v>
      </c>
      <c r="J128" s="32">
        <v>0</v>
      </c>
      <c r="K128" s="24">
        <v>0</v>
      </c>
      <c r="L128" s="31">
        <v>0</v>
      </c>
      <c r="M128" s="32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2">
        <v>0</v>
      </c>
      <c r="T128" s="31">
        <v>0</v>
      </c>
      <c r="U128" s="31">
        <v>0</v>
      </c>
      <c r="V128" s="31">
        <v>0</v>
      </c>
      <c r="W128" s="32">
        <v>0</v>
      </c>
      <c r="X128" s="31">
        <v>0</v>
      </c>
      <c r="Y128" s="32">
        <v>0</v>
      </c>
      <c r="Z128" s="33">
        <v>0</v>
      </c>
      <c r="AA128" s="3"/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</row>
    <row r="129" spans="1:34" ht="27.75" thickBot="1" x14ac:dyDescent="0.3">
      <c r="A129" s="28" t="s">
        <v>220</v>
      </c>
      <c r="B129" s="122" t="s">
        <v>224</v>
      </c>
      <c r="C129" s="123" t="s">
        <v>226</v>
      </c>
      <c r="D129" s="123" t="s">
        <v>223</v>
      </c>
      <c r="E129" s="31">
        <v>0</v>
      </c>
      <c r="F129" s="31">
        <v>5</v>
      </c>
      <c r="G129" s="31">
        <v>1</v>
      </c>
      <c r="H129" s="31">
        <v>0</v>
      </c>
      <c r="I129" s="32">
        <v>0</v>
      </c>
      <c r="J129" s="32">
        <v>0</v>
      </c>
      <c r="K129" s="24">
        <v>0</v>
      </c>
      <c r="L129" s="31">
        <v>0</v>
      </c>
      <c r="M129" s="32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2">
        <v>0</v>
      </c>
      <c r="T129" s="31">
        <v>0</v>
      </c>
      <c r="U129" s="31">
        <v>0</v>
      </c>
      <c r="V129" s="31">
        <v>0</v>
      </c>
      <c r="W129" s="32">
        <v>0</v>
      </c>
      <c r="X129" s="31">
        <v>0</v>
      </c>
      <c r="Y129" s="32">
        <v>0</v>
      </c>
      <c r="Z129" s="33">
        <v>0</v>
      </c>
      <c r="AA129" s="3"/>
      <c r="AB129" s="26">
        <v>19</v>
      </c>
      <c r="AC129" s="26">
        <v>2</v>
      </c>
      <c r="AD129" s="26">
        <v>1</v>
      </c>
      <c r="AE129" s="26">
        <v>1</v>
      </c>
      <c r="AF129" s="26">
        <v>1</v>
      </c>
      <c r="AG129" s="26">
        <v>2</v>
      </c>
    </row>
    <row r="130" spans="1:34" ht="41.25" thickBot="1" x14ac:dyDescent="0.3">
      <c r="A130" s="28" t="s">
        <v>220</v>
      </c>
      <c r="B130" s="122" t="s">
        <v>224</v>
      </c>
      <c r="C130" s="123" t="s">
        <v>227</v>
      </c>
      <c r="D130" s="123" t="s">
        <v>228</v>
      </c>
      <c r="E130" s="31">
        <v>0</v>
      </c>
      <c r="F130" s="31"/>
      <c r="G130" s="31">
        <v>0</v>
      </c>
      <c r="H130" s="31">
        <v>0</v>
      </c>
      <c r="I130" s="32">
        <v>0</v>
      </c>
      <c r="J130" s="32">
        <v>0</v>
      </c>
      <c r="K130" s="24">
        <v>0</v>
      </c>
      <c r="L130" s="31">
        <v>0</v>
      </c>
      <c r="M130" s="32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2">
        <v>0</v>
      </c>
      <c r="T130" s="31">
        <v>0</v>
      </c>
      <c r="U130" s="31">
        <v>0</v>
      </c>
      <c r="V130" s="31">
        <v>0</v>
      </c>
      <c r="W130" s="32">
        <v>0</v>
      </c>
      <c r="X130" s="31">
        <v>0</v>
      </c>
      <c r="Y130" s="32">
        <v>0</v>
      </c>
      <c r="Z130" s="33">
        <v>0</v>
      </c>
      <c r="AA130" s="3"/>
      <c r="AB130" s="26"/>
      <c r="AC130" s="26"/>
      <c r="AD130" s="26"/>
      <c r="AE130" s="26"/>
      <c r="AF130" s="26"/>
      <c r="AG130" s="26"/>
    </row>
    <row r="131" spans="1:34" ht="27.75" thickBot="1" x14ac:dyDescent="0.3">
      <c r="A131" s="28" t="s">
        <v>220</v>
      </c>
      <c r="B131" s="122" t="s">
        <v>221</v>
      </c>
      <c r="C131" s="123" t="s">
        <v>229</v>
      </c>
      <c r="D131" s="123" t="s">
        <v>230</v>
      </c>
      <c r="E131" s="31">
        <v>0</v>
      </c>
      <c r="F131" s="31">
        <v>3</v>
      </c>
      <c r="G131" s="31">
        <v>0</v>
      </c>
      <c r="H131" s="31">
        <v>0</v>
      </c>
      <c r="I131" s="32">
        <v>0</v>
      </c>
      <c r="J131" s="32">
        <v>0</v>
      </c>
      <c r="K131" s="24">
        <v>0</v>
      </c>
      <c r="L131" s="31">
        <v>0</v>
      </c>
      <c r="M131" s="32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2">
        <v>0</v>
      </c>
      <c r="T131" s="31">
        <v>0</v>
      </c>
      <c r="U131" s="31">
        <v>0</v>
      </c>
      <c r="V131" s="31">
        <v>0</v>
      </c>
      <c r="W131" s="32">
        <v>0</v>
      </c>
      <c r="X131" s="31">
        <v>0</v>
      </c>
      <c r="Y131" s="32">
        <v>0</v>
      </c>
      <c r="Z131" s="33">
        <v>0</v>
      </c>
      <c r="AA131" s="3"/>
      <c r="AB131" s="26">
        <v>14</v>
      </c>
      <c r="AC131" s="26">
        <v>2</v>
      </c>
      <c r="AD131" s="26">
        <v>1</v>
      </c>
      <c r="AE131" s="26">
        <v>1</v>
      </c>
      <c r="AF131" s="26">
        <v>1</v>
      </c>
      <c r="AG131" s="26">
        <v>2</v>
      </c>
    </row>
    <row r="132" spans="1:34" ht="27.75" thickBot="1" x14ac:dyDescent="0.3">
      <c r="A132" s="28" t="s">
        <v>220</v>
      </c>
      <c r="B132" s="122" t="s">
        <v>231</v>
      </c>
      <c r="C132" s="123" t="s">
        <v>232</v>
      </c>
      <c r="D132" s="123" t="s">
        <v>233</v>
      </c>
      <c r="E132" s="31">
        <v>0</v>
      </c>
      <c r="F132" s="31">
        <v>2</v>
      </c>
      <c r="G132" s="31">
        <v>0</v>
      </c>
      <c r="H132" s="31">
        <v>0</v>
      </c>
      <c r="I132" s="32">
        <v>0</v>
      </c>
      <c r="J132" s="32">
        <v>0</v>
      </c>
      <c r="K132" s="24">
        <v>0</v>
      </c>
      <c r="L132" s="31">
        <v>0</v>
      </c>
      <c r="M132" s="32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2">
        <v>0</v>
      </c>
      <c r="T132" s="31">
        <v>0</v>
      </c>
      <c r="U132" s="31">
        <v>0</v>
      </c>
      <c r="V132" s="31">
        <v>0</v>
      </c>
      <c r="W132" s="32">
        <v>0</v>
      </c>
      <c r="X132" s="31">
        <v>0</v>
      </c>
      <c r="Y132" s="32">
        <v>0</v>
      </c>
      <c r="Z132" s="33">
        <v>0</v>
      </c>
      <c r="AA132" s="38">
        <f>AA135*7.5</f>
        <v>1731562486.8806882</v>
      </c>
      <c r="AB132" s="26">
        <v>16</v>
      </c>
      <c r="AC132" s="26">
        <v>0</v>
      </c>
      <c r="AD132" s="26">
        <v>1</v>
      </c>
      <c r="AE132" s="26">
        <v>1</v>
      </c>
      <c r="AF132" s="26">
        <v>1</v>
      </c>
      <c r="AG132" s="26">
        <v>0</v>
      </c>
    </row>
    <row r="133" spans="1:34" ht="27.75" thickBot="1" x14ac:dyDescent="0.3">
      <c r="A133" s="62" t="s">
        <v>220</v>
      </c>
      <c r="B133" s="124" t="s">
        <v>234</v>
      </c>
      <c r="C133" s="125" t="s">
        <v>235</v>
      </c>
      <c r="D133" s="125" t="s">
        <v>236</v>
      </c>
      <c r="E133" s="65">
        <v>0</v>
      </c>
      <c r="F133" s="65">
        <v>1</v>
      </c>
      <c r="G133" s="65">
        <v>0</v>
      </c>
      <c r="H133" s="65">
        <v>0</v>
      </c>
      <c r="I133" s="66">
        <v>0</v>
      </c>
      <c r="J133" s="66">
        <v>0</v>
      </c>
      <c r="K133" s="24">
        <v>0</v>
      </c>
      <c r="L133" s="65">
        <v>0</v>
      </c>
      <c r="M133" s="66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6">
        <v>0</v>
      </c>
      <c r="T133" s="65">
        <v>0</v>
      </c>
      <c r="U133" s="65">
        <v>0</v>
      </c>
      <c r="V133" s="65">
        <v>0</v>
      </c>
      <c r="W133" s="66">
        <v>0</v>
      </c>
      <c r="X133" s="65">
        <v>0</v>
      </c>
      <c r="Y133" s="66">
        <v>0</v>
      </c>
      <c r="Z133" s="67">
        <v>0</v>
      </c>
      <c r="AA133" s="3"/>
      <c r="AB133" s="35">
        <v>8</v>
      </c>
      <c r="AC133" s="133">
        <v>0</v>
      </c>
      <c r="AD133" s="133">
        <v>1</v>
      </c>
      <c r="AE133" s="133">
        <v>1</v>
      </c>
      <c r="AF133" s="133">
        <v>0</v>
      </c>
      <c r="AG133" s="133">
        <v>0</v>
      </c>
    </row>
    <row r="134" spans="1:34" ht="15.75" thickBot="1" x14ac:dyDescent="0.3">
      <c r="A134" s="202" t="s">
        <v>94</v>
      </c>
      <c r="B134" s="203"/>
      <c r="C134" s="203"/>
      <c r="D134" s="204"/>
      <c r="E134" s="39">
        <f>SUM(E127:E133)</f>
        <v>0</v>
      </c>
      <c r="F134" s="40">
        <f t="shared" ref="F134:AG134" si="33">SUM(F127:F133)</f>
        <v>21</v>
      </c>
      <c r="G134" s="40">
        <f t="shared" si="33"/>
        <v>1</v>
      </c>
      <c r="H134" s="40">
        <f t="shared" si="33"/>
        <v>0</v>
      </c>
      <c r="I134" s="41">
        <f t="shared" si="33"/>
        <v>0</v>
      </c>
      <c r="J134" s="41">
        <f t="shared" si="33"/>
        <v>0</v>
      </c>
      <c r="K134" s="41"/>
      <c r="L134" s="40">
        <f t="shared" si="33"/>
        <v>0</v>
      </c>
      <c r="M134" s="41">
        <f t="shared" si="33"/>
        <v>0</v>
      </c>
      <c r="N134" s="40">
        <f t="shared" si="33"/>
        <v>0</v>
      </c>
      <c r="O134" s="40">
        <f t="shared" si="33"/>
        <v>0</v>
      </c>
      <c r="P134" s="40">
        <f t="shared" si="33"/>
        <v>0</v>
      </c>
      <c r="Q134" s="40">
        <f t="shared" si="33"/>
        <v>0</v>
      </c>
      <c r="R134" s="40">
        <f t="shared" si="33"/>
        <v>0</v>
      </c>
      <c r="S134" s="41">
        <f t="shared" si="33"/>
        <v>0</v>
      </c>
      <c r="T134" s="40">
        <f t="shared" si="33"/>
        <v>0</v>
      </c>
      <c r="U134" s="40">
        <f t="shared" si="33"/>
        <v>0</v>
      </c>
      <c r="V134" s="40">
        <f t="shared" si="33"/>
        <v>0</v>
      </c>
      <c r="W134" s="41">
        <f t="shared" si="33"/>
        <v>0</v>
      </c>
      <c r="X134" s="40">
        <f t="shared" si="33"/>
        <v>0</v>
      </c>
      <c r="Y134" s="41">
        <f t="shared" si="33"/>
        <v>0</v>
      </c>
      <c r="Z134" s="42">
        <f t="shared" si="33"/>
        <v>0</v>
      </c>
      <c r="AA134" s="43">
        <f>SUM(E134:Z134)</f>
        <v>22</v>
      </c>
      <c r="AB134" s="134">
        <f t="shared" si="33"/>
        <v>95</v>
      </c>
      <c r="AC134" s="134">
        <f t="shared" si="33"/>
        <v>8</v>
      </c>
      <c r="AD134" s="135">
        <f t="shared" si="33"/>
        <v>6</v>
      </c>
      <c r="AE134" s="135">
        <f t="shared" si="33"/>
        <v>6</v>
      </c>
      <c r="AF134" s="135">
        <f t="shared" si="33"/>
        <v>4</v>
      </c>
      <c r="AG134" s="136">
        <f t="shared" si="33"/>
        <v>7</v>
      </c>
    </row>
    <row r="135" spans="1:34" ht="15.75" thickBot="1" x14ac:dyDescent="0.3">
      <c r="A135" s="207" t="s">
        <v>237</v>
      </c>
      <c r="B135" s="208"/>
      <c r="C135" s="208"/>
      <c r="D135" s="208"/>
      <c r="E135" s="137">
        <f t="shared" ref="E135:J135" si="34">E134*E5</f>
        <v>0</v>
      </c>
      <c r="F135" s="137">
        <f t="shared" si="34"/>
        <v>220380680.14845121</v>
      </c>
      <c r="G135" s="137">
        <f t="shared" si="34"/>
        <v>10494318.1023072</v>
      </c>
      <c r="H135" s="137">
        <f t="shared" si="34"/>
        <v>0</v>
      </c>
      <c r="I135" s="138">
        <f t="shared" si="34"/>
        <v>0</v>
      </c>
      <c r="J135" s="138">
        <f t="shared" si="34"/>
        <v>0</v>
      </c>
      <c r="K135" s="138"/>
      <c r="L135" s="137">
        <f>L134*L5</f>
        <v>0</v>
      </c>
      <c r="M135" s="138">
        <f>M134*M5</f>
        <v>0</v>
      </c>
      <c r="N135" s="137">
        <f t="shared" ref="N135:Z135" si="35">N134*N5</f>
        <v>0</v>
      </c>
      <c r="O135" s="137">
        <f t="shared" si="35"/>
        <v>0</v>
      </c>
      <c r="P135" s="137">
        <f t="shared" si="35"/>
        <v>0</v>
      </c>
      <c r="Q135" s="137">
        <f t="shared" si="35"/>
        <v>0</v>
      </c>
      <c r="R135" s="137">
        <f t="shared" si="35"/>
        <v>0</v>
      </c>
      <c r="S135" s="138">
        <f t="shared" si="35"/>
        <v>0</v>
      </c>
      <c r="T135" s="137">
        <f t="shared" si="35"/>
        <v>0</v>
      </c>
      <c r="U135" s="137">
        <f t="shared" si="35"/>
        <v>0</v>
      </c>
      <c r="V135" s="137">
        <f t="shared" si="35"/>
        <v>0</v>
      </c>
      <c r="W135" s="138">
        <f t="shared" si="35"/>
        <v>0</v>
      </c>
      <c r="X135" s="137">
        <f t="shared" si="35"/>
        <v>0</v>
      </c>
      <c r="Y135" s="138">
        <f t="shared" si="35"/>
        <v>0</v>
      </c>
      <c r="Z135" s="139">
        <f t="shared" si="35"/>
        <v>0</v>
      </c>
      <c r="AA135" s="57">
        <f>SUM(E135:Z135)</f>
        <v>230874998.25075841</v>
      </c>
      <c r="AB135" s="140">
        <f t="shared" ref="AB135:AG135" si="36">AB134*AB5</f>
        <v>1530465.8755555556</v>
      </c>
      <c r="AC135" s="140">
        <f t="shared" si="36"/>
        <v>500958.4782222223</v>
      </c>
      <c r="AD135" s="141">
        <f t="shared" si="36"/>
        <v>481308.35199999996</v>
      </c>
      <c r="AE135" s="141">
        <f t="shared" si="36"/>
        <v>349485.54666666669</v>
      </c>
      <c r="AF135" s="141">
        <f t="shared" si="36"/>
        <v>734708.75022222218</v>
      </c>
      <c r="AG135" s="142">
        <f t="shared" si="36"/>
        <v>432662.42133333336</v>
      </c>
    </row>
    <row r="136" spans="1:34" ht="17.25" thickBot="1" x14ac:dyDescent="0.3">
      <c r="A136" s="219" t="s">
        <v>238</v>
      </c>
      <c r="B136" s="220"/>
      <c r="C136" s="220"/>
      <c r="D136" s="220"/>
      <c r="E136" s="143">
        <f t="shared" ref="E136:Z136" si="37">+E33+E48+E70+E80+E96+E112+E123+E134</f>
        <v>8</v>
      </c>
      <c r="F136" s="143">
        <f t="shared" si="37"/>
        <v>233</v>
      </c>
      <c r="G136" s="143">
        <f t="shared" si="37"/>
        <v>12</v>
      </c>
      <c r="H136" s="143">
        <f t="shared" si="37"/>
        <v>2</v>
      </c>
      <c r="I136" s="144">
        <f t="shared" si="37"/>
        <v>0</v>
      </c>
      <c r="J136" s="144">
        <f t="shared" si="37"/>
        <v>0</v>
      </c>
      <c r="K136" s="144">
        <f t="shared" si="37"/>
        <v>0</v>
      </c>
      <c r="L136" s="143">
        <f t="shared" si="37"/>
        <v>5</v>
      </c>
      <c r="M136" s="144">
        <f t="shared" si="37"/>
        <v>0</v>
      </c>
      <c r="N136" s="143">
        <f t="shared" si="37"/>
        <v>11</v>
      </c>
      <c r="O136" s="143">
        <f t="shared" si="37"/>
        <v>4</v>
      </c>
      <c r="P136" s="143">
        <f t="shared" si="37"/>
        <v>3</v>
      </c>
      <c r="Q136" s="143">
        <f t="shared" si="37"/>
        <v>7</v>
      </c>
      <c r="R136" s="143">
        <f t="shared" si="37"/>
        <v>3</v>
      </c>
      <c r="S136" s="144">
        <f t="shared" si="37"/>
        <v>0</v>
      </c>
      <c r="T136" s="143">
        <f t="shared" si="37"/>
        <v>4</v>
      </c>
      <c r="U136" s="143">
        <f t="shared" si="37"/>
        <v>1</v>
      </c>
      <c r="V136" s="143">
        <f t="shared" si="37"/>
        <v>1</v>
      </c>
      <c r="W136" s="144">
        <f t="shared" si="37"/>
        <v>0</v>
      </c>
      <c r="X136" s="143">
        <f t="shared" si="37"/>
        <v>1</v>
      </c>
      <c r="Y136" s="144">
        <f t="shared" si="37"/>
        <v>0</v>
      </c>
      <c r="Z136" s="145">
        <f t="shared" si="37"/>
        <v>0</v>
      </c>
      <c r="AA136" s="146"/>
      <c r="AB136" s="143">
        <f t="shared" ref="AB136:AG136" si="38">+AB33+AB48+AB70+AB80+AB96+AB112+AB123+AB134</f>
        <v>1222</v>
      </c>
      <c r="AC136" s="143">
        <f t="shared" si="38"/>
        <v>109</v>
      </c>
      <c r="AD136" s="143">
        <f t="shared" si="38"/>
        <v>90</v>
      </c>
      <c r="AE136" s="143">
        <f t="shared" si="38"/>
        <v>86</v>
      </c>
      <c r="AF136" s="143">
        <f t="shared" si="38"/>
        <v>41</v>
      </c>
      <c r="AG136" s="147">
        <f t="shared" si="38"/>
        <v>127</v>
      </c>
    </row>
    <row r="137" spans="1:34" s="75" customFormat="1" ht="15.75" thickBot="1" x14ac:dyDescent="0.3">
      <c r="A137" s="221" t="s">
        <v>239</v>
      </c>
      <c r="B137" s="222"/>
      <c r="C137" s="222"/>
      <c r="D137" s="222"/>
      <c r="E137" s="148">
        <f t="shared" ref="E137:Z137" si="39">+E136*(E2+E3)</f>
        <v>83914875.96800001</v>
      </c>
      <c r="F137" s="148">
        <f t="shared" si="39"/>
        <v>2399584021.4304004</v>
      </c>
      <c r="G137" s="148">
        <f t="shared" si="39"/>
        <v>123583726.42560002</v>
      </c>
      <c r="H137" s="148">
        <f t="shared" si="39"/>
        <v>21169434.619200002</v>
      </c>
      <c r="I137" s="148">
        <f t="shared" si="39"/>
        <v>0</v>
      </c>
      <c r="J137" s="148">
        <f t="shared" si="39"/>
        <v>0</v>
      </c>
      <c r="K137" s="148">
        <f t="shared" si="39"/>
        <v>0</v>
      </c>
      <c r="L137" s="148">
        <f t="shared" si="39"/>
        <v>31865876.610770617</v>
      </c>
      <c r="M137" s="148">
        <f t="shared" si="39"/>
        <v>0</v>
      </c>
      <c r="N137" s="148">
        <f t="shared" si="39"/>
        <v>52578696.40777152</v>
      </c>
      <c r="O137" s="148">
        <f t="shared" si="39"/>
        <v>18096460.124905549</v>
      </c>
      <c r="P137" s="148">
        <f t="shared" si="39"/>
        <v>8482715.6835494768</v>
      </c>
      <c r="Q137" s="148">
        <f t="shared" si="39"/>
        <v>23751603.913938537</v>
      </c>
      <c r="R137" s="148">
        <f t="shared" si="39"/>
        <v>17323586.512720838</v>
      </c>
      <c r="S137" s="148">
        <f t="shared" si="39"/>
        <v>0</v>
      </c>
      <c r="T137" s="148">
        <f t="shared" si="39"/>
        <v>23525858.227151755</v>
      </c>
      <c r="U137" s="148">
        <f t="shared" si="39"/>
        <v>3998162.4086207999</v>
      </c>
      <c r="V137" s="148">
        <f t="shared" si="39"/>
        <v>3925468.5466458765</v>
      </c>
      <c r="W137" s="148">
        <f t="shared" si="39"/>
        <v>0</v>
      </c>
      <c r="X137" s="148">
        <f t="shared" si="39"/>
        <v>2262057.5156131936</v>
      </c>
      <c r="Y137" s="148">
        <f t="shared" si="39"/>
        <v>0</v>
      </c>
      <c r="Z137" s="148">
        <f t="shared" si="39"/>
        <v>0</v>
      </c>
      <c r="AA137" s="149"/>
      <c r="AB137" s="148">
        <f t="shared" ref="AB137:AG137" si="40">+AB136*(AB2+AB3)</f>
        <v>16543381.688888889</v>
      </c>
      <c r="AC137" s="148">
        <f t="shared" si="40"/>
        <v>5735764.0888888892</v>
      </c>
      <c r="AD137" s="148">
        <f t="shared" si="40"/>
        <v>6066912</v>
      </c>
      <c r="AE137" s="148">
        <f t="shared" si="40"/>
        <v>4209489.777777778</v>
      </c>
      <c r="AF137" s="148">
        <f t="shared" si="40"/>
        <v>6328373.6888888888</v>
      </c>
      <c r="AG137" s="148">
        <f t="shared" si="40"/>
        <v>6596413.8666666672</v>
      </c>
      <c r="AH137" s="150"/>
    </row>
    <row r="138" spans="1:34" s="75" customFormat="1" ht="15.75" thickBot="1" x14ac:dyDescent="0.3">
      <c r="A138" s="223" t="s">
        <v>240</v>
      </c>
      <c r="B138" s="224"/>
      <c r="C138" s="224"/>
      <c r="D138" s="224"/>
      <c r="E138" s="151">
        <f t="shared" ref="E138:Z138" si="41">+ROUND(((E33+E48+E70+E80+E96+E112+E134)*E4),0)</f>
        <v>1594383</v>
      </c>
      <c r="F138" s="151">
        <f t="shared" si="41"/>
        <v>44613725</v>
      </c>
      <c r="G138" s="151">
        <f t="shared" si="41"/>
        <v>2348091</v>
      </c>
      <c r="H138" s="151">
        <f t="shared" si="41"/>
        <v>402219</v>
      </c>
      <c r="I138" s="151">
        <f t="shared" si="41"/>
        <v>0</v>
      </c>
      <c r="J138" s="151">
        <f t="shared" si="41"/>
        <v>0</v>
      </c>
      <c r="K138" s="151">
        <f t="shared" si="41"/>
        <v>0</v>
      </c>
      <c r="L138" s="151">
        <f t="shared" si="41"/>
        <v>605452</v>
      </c>
      <c r="M138" s="151">
        <f t="shared" si="41"/>
        <v>0</v>
      </c>
      <c r="N138" s="151">
        <f t="shared" si="41"/>
        <v>817360</v>
      </c>
      <c r="O138" s="151">
        <f t="shared" si="41"/>
        <v>343833</v>
      </c>
      <c r="P138" s="151">
        <f t="shared" si="41"/>
        <v>161172</v>
      </c>
      <c r="Q138" s="151">
        <f t="shared" si="41"/>
        <v>451280</v>
      </c>
      <c r="R138" s="151">
        <f t="shared" si="41"/>
        <v>329148</v>
      </c>
      <c r="S138" s="151">
        <f t="shared" si="41"/>
        <v>0</v>
      </c>
      <c r="T138" s="151">
        <f t="shared" si="41"/>
        <v>446991</v>
      </c>
      <c r="U138" s="151">
        <f t="shared" si="41"/>
        <v>75965</v>
      </c>
      <c r="V138" s="151">
        <f t="shared" si="41"/>
        <v>74584</v>
      </c>
      <c r="W138" s="151">
        <f t="shared" si="41"/>
        <v>0</v>
      </c>
      <c r="X138" s="151">
        <f t="shared" si="41"/>
        <v>0</v>
      </c>
      <c r="Y138" s="151">
        <f t="shared" si="41"/>
        <v>0</v>
      </c>
      <c r="Z138" s="151">
        <f t="shared" si="41"/>
        <v>0</v>
      </c>
      <c r="AA138" s="149"/>
      <c r="AB138" s="151">
        <f t="shared" ref="AB138:AG138" si="42">+ROUND(((AB33+AB48+AB70+AB80+AB96+AB112+AB134)*AB4),0)</f>
        <v>3012060</v>
      </c>
      <c r="AC138" s="151">
        <f t="shared" si="42"/>
        <v>1009810</v>
      </c>
      <c r="AD138" s="151">
        <f t="shared" si="42"/>
        <v>1088674</v>
      </c>
      <c r="AE138" s="151">
        <f t="shared" si="42"/>
        <v>762603</v>
      </c>
      <c r="AF138" s="151">
        <f t="shared" si="42"/>
        <v>1143738</v>
      </c>
      <c r="AG138" s="151">
        <f t="shared" si="42"/>
        <v>1164501</v>
      </c>
      <c r="AH138" s="150"/>
    </row>
    <row r="139" spans="1:34" s="75" customFormat="1" ht="15.75" thickBot="1" x14ac:dyDescent="0.3">
      <c r="A139" s="225" t="s">
        <v>241</v>
      </c>
      <c r="B139" s="226"/>
      <c r="C139" s="226"/>
      <c r="D139" s="226"/>
      <c r="E139" s="152">
        <f>+E137+E138</f>
        <v>85509258.96800001</v>
      </c>
      <c r="F139" s="152">
        <f t="shared" ref="F139:Z139" si="43">+F137+F138</f>
        <v>2444197746.4304004</v>
      </c>
      <c r="G139" s="152">
        <f t="shared" si="43"/>
        <v>125931817.42560002</v>
      </c>
      <c r="H139" s="152">
        <f t="shared" si="43"/>
        <v>21571653.619200002</v>
      </c>
      <c r="I139" s="152">
        <f t="shared" si="43"/>
        <v>0</v>
      </c>
      <c r="J139" s="152">
        <f t="shared" si="43"/>
        <v>0</v>
      </c>
      <c r="K139" s="152">
        <f t="shared" si="43"/>
        <v>0</v>
      </c>
      <c r="L139" s="152">
        <f t="shared" si="43"/>
        <v>32471328.610770617</v>
      </c>
      <c r="M139" s="152">
        <f t="shared" si="43"/>
        <v>0</v>
      </c>
      <c r="N139" s="152">
        <f t="shared" si="43"/>
        <v>53396056.40777152</v>
      </c>
      <c r="O139" s="152">
        <f t="shared" si="43"/>
        <v>18440293.124905549</v>
      </c>
      <c r="P139" s="152">
        <f t="shared" si="43"/>
        <v>8643887.6835494768</v>
      </c>
      <c r="Q139" s="152">
        <f t="shared" si="43"/>
        <v>24202883.913938537</v>
      </c>
      <c r="R139" s="152">
        <f t="shared" si="43"/>
        <v>17652734.512720838</v>
      </c>
      <c r="S139" s="152">
        <f t="shared" si="43"/>
        <v>0</v>
      </c>
      <c r="T139" s="152">
        <f t="shared" si="43"/>
        <v>23972849.227151755</v>
      </c>
      <c r="U139" s="152">
        <f t="shared" si="43"/>
        <v>4074127.4086207999</v>
      </c>
      <c r="V139" s="152">
        <f t="shared" si="43"/>
        <v>4000052.5466458765</v>
      </c>
      <c r="W139" s="152">
        <f t="shared" si="43"/>
        <v>0</v>
      </c>
      <c r="X139" s="152">
        <f t="shared" si="43"/>
        <v>2262057.5156131936</v>
      </c>
      <c r="Y139" s="152">
        <f t="shared" si="43"/>
        <v>0</v>
      </c>
      <c r="Z139" s="152">
        <f t="shared" si="43"/>
        <v>0</v>
      </c>
      <c r="AA139" s="149">
        <f>SUM(E139:Z139)</f>
        <v>2866326747.3948889</v>
      </c>
      <c r="AB139" s="152">
        <f>+AB137+AB138</f>
        <v>19555441.688888889</v>
      </c>
      <c r="AC139" s="152">
        <f t="shared" ref="AC139:AG139" si="44">+AC137+AC138</f>
        <v>6745574.0888888892</v>
      </c>
      <c r="AD139" s="152">
        <f t="shared" si="44"/>
        <v>7155586</v>
      </c>
      <c r="AE139" s="152">
        <f t="shared" si="44"/>
        <v>4972092.777777778</v>
      </c>
      <c r="AF139" s="152">
        <f t="shared" si="44"/>
        <v>7472111.6888888888</v>
      </c>
      <c r="AG139" s="152">
        <f t="shared" si="44"/>
        <v>7760914.8666666672</v>
      </c>
      <c r="AH139" s="153">
        <f>SUM(AB139:AG139)</f>
        <v>53661721.111111112</v>
      </c>
    </row>
    <row r="140" spans="1:34" s="75" customFormat="1" x14ac:dyDescent="0.25">
      <c r="A140" s="154"/>
      <c r="B140" s="154"/>
      <c r="C140" s="154"/>
      <c r="D140" s="154"/>
      <c r="E140" s="155"/>
      <c r="F140" s="155"/>
      <c r="G140" s="155"/>
      <c r="H140" s="155"/>
      <c r="I140" s="156"/>
      <c r="J140" s="156"/>
      <c r="K140" s="156"/>
      <c r="L140" s="155"/>
      <c r="M140" s="156"/>
      <c r="N140" s="155"/>
      <c r="O140" s="155"/>
      <c r="P140" s="155"/>
      <c r="Q140" s="155"/>
      <c r="R140" s="155"/>
      <c r="S140" s="156"/>
      <c r="T140" s="155"/>
      <c r="U140" s="155"/>
      <c r="V140" s="155"/>
      <c r="W140" s="156"/>
      <c r="X140" s="155"/>
      <c r="Y140" s="156"/>
      <c r="Z140" s="156"/>
      <c r="AA140" s="157"/>
      <c r="AB140" s="155"/>
      <c r="AC140" s="155"/>
      <c r="AD140" s="155"/>
      <c r="AE140" s="155"/>
      <c r="AF140" s="155"/>
      <c r="AG140" s="155"/>
    </row>
    <row r="141" spans="1:34" ht="16.5" thickBot="1" x14ac:dyDescent="0.3">
      <c r="A141" s="227" t="s">
        <v>242</v>
      </c>
      <c r="B141" s="227"/>
      <c r="C141" s="227"/>
      <c r="D141" s="227"/>
      <c r="F141" s="158"/>
      <c r="G141" s="158"/>
      <c r="H141" s="158"/>
      <c r="I141" s="159"/>
      <c r="J141" s="159"/>
      <c r="K141" s="159"/>
      <c r="L141" s="158"/>
      <c r="M141" s="159"/>
      <c r="N141" s="158"/>
      <c r="O141" s="158"/>
      <c r="P141" s="158"/>
      <c r="Q141" s="158"/>
      <c r="R141" s="158"/>
      <c r="S141" s="159"/>
      <c r="T141" s="158"/>
      <c r="U141" s="158"/>
      <c r="V141" s="158"/>
      <c r="W141" s="159"/>
      <c r="X141" s="158"/>
      <c r="AA141" s="161"/>
    </row>
    <row r="142" spans="1:34" ht="108.75" thickBot="1" x14ac:dyDescent="0.3">
      <c r="A142" s="7" t="s">
        <v>5</v>
      </c>
      <c r="B142" s="8" t="s">
        <v>6</v>
      </c>
      <c r="C142" s="7" t="s">
        <v>7</v>
      </c>
      <c r="D142" s="9" t="s">
        <v>8</v>
      </c>
      <c r="E142" s="162" t="s">
        <v>9</v>
      </c>
      <c r="F142" s="13" t="s">
        <v>10</v>
      </c>
      <c r="G142" s="13" t="s">
        <v>11</v>
      </c>
      <c r="H142" s="13" t="s">
        <v>12</v>
      </c>
      <c r="I142" s="13" t="s">
        <v>13</v>
      </c>
      <c r="J142" s="13" t="s">
        <v>14</v>
      </c>
      <c r="K142" s="13" t="s">
        <v>15</v>
      </c>
      <c r="L142" s="13" t="s">
        <v>16</v>
      </c>
      <c r="M142" s="13" t="s">
        <v>17</v>
      </c>
      <c r="N142" s="13" t="s">
        <v>18</v>
      </c>
      <c r="O142" s="13" t="s">
        <v>19</v>
      </c>
      <c r="P142" s="13" t="s">
        <v>20</v>
      </c>
      <c r="Q142" s="13" t="s">
        <v>21</v>
      </c>
      <c r="R142" s="13" t="s">
        <v>22</v>
      </c>
      <c r="S142" s="13" t="s">
        <v>23</v>
      </c>
      <c r="T142" s="163" t="s">
        <v>24</v>
      </c>
      <c r="U142" s="163" t="s">
        <v>25</v>
      </c>
      <c r="V142" s="13" t="s">
        <v>26</v>
      </c>
      <c r="W142" s="13" t="s">
        <v>27</v>
      </c>
      <c r="X142" s="13" t="s">
        <v>28</v>
      </c>
      <c r="Y142" s="13" t="s">
        <v>29</v>
      </c>
      <c r="Z142" s="13" t="s">
        <v>30</v>
      </c>
      <c r="AA142" s="3"/>
      <c r="AB142" s="16" t="s">
        <v>31</v>
      </c>
      <c r="AC142" s="17" t="s">
        <v>32</v>
      </c>
      <c r="AD142" s="18" t="s">
        <v>33</v>
      </c>
      <c r="AE142" s="18" t="s">
        <v>34</v>
      </c>
      <c r="AF142" s="18" t="s">
        <v>35</v>
      </c>
      <c r="AG142" s="19" t="s">
        <v>36</v>
      </c>
    </row>
    <row r="143" spans="1:34" x14ac:dyDescent="0.25">
      <c r="A143" s="28" t="s">
        <v>97</v>
      </c>
      <c r="B143" s="164" t="s">
        <v>101</v>
      </c>
      <c r="C143" s="30" t="s">
        <v>243</v>
      </c>
      <c r="D143" s="30" t="s">
        <v>243</v>
      </c>
      <c r="E143" s="165">
        <v>0</v>
      </c>
      <c r="F143" s="166">
        <v>3</v>
      </c>
      <c r="G143" s="166">
        <v>0</v>
      </c>
      <c r="H143" s="166">
        <v>0</v>
      </c>
      <c r="I143" s="166">
        <v>0</v>
      </c>
      <c r="J143" s="166">
        <v>0</v>
      </c>
      <c r="K143" s="166">
        <v>0</v>
      </c>
      <c r="L143" s="166">
        <v>0</v>
      </c>
      <c r="M143" s="166">
        <v>0</v>
      </c>
      <c r="N143" s="166">
        <v>0</v>
      </c>
      <c r="O143" s="166">
        <v>0</v>
      </c>
      <c r="P143" s="166">
        <v>0</v>
      </c>
      <c r="Q143" s="166">
        <v>0</v>
      </c>
      <c r="R143" s="166">
        <v>0</v>
      </c>
      <c r="S143" s="166">
        <v>0</v>
      </c>
      <c r="T143" s="165">
        <v>0</v>
      </c>
      <c r="U143" s="165">
        <v>0</v>
      </c>
      <c r="V143" s="166">
        <v>0</v>
      </c>
      <c r="W143" s="166">
        <v>0</v>
      </c>
      <c r="X143" s="166">
        <v>0</v>
      </c>
      <c r="Y143" s="166">
        <v>0</v>
      </c>
      <c r="Z143" s="166">
        <v>0</v>
      </c>
      <c r="AA143" s="167"/>
      <c r="AB143" s="166">
        <v>0</v>
      </c>
      <c r="AC143" s="166">
        <v>0</v>
      </c>
      <c r="AD143" s="166">
        <v>0</v>
      </c>
      <c r="AE143" s="166">
        <v>0</v>
      </c>
      <c r="AF143" s="166">
        <v>0</v>
      </c>
      <c r="AG143" s="166">
        <v>0</v>
      </c>
    </row>
    <row r="144" spans="1:34" ht="27" x14ac:dyDescent="0.25">
      <c r="A144" s="28" t="s">
        <v>188</v>
      </c>
      <c r="B144" s="164" t="s">
        <v>193</v>
      </c>
      <c r="C144" s="30" t="s">
        <v>195</v>
      </c>
      <c r="D144" s="30" t="s">
        <v>196</v>
      </c>
      <c r="E144" s="165">
        <v>0</v>
      </c>
      <c r="F144" s="166">
        <v>1</v>
      </c>
      <c r="G144" s="166">
        <v>0</v>
      </c>
      <c r="H144" s="166">
        <v>0</v>
      </c>
      <c r="I144" s="166">
        <v>0</v>
      </c>
      <c r="J144" s="166">
        <v>0</v>
      </c>
      <c r="K144" s="166">
        <v>0</v>
      </c>
      <c r="L144" s="166">
        <v>0</v>
      </c>
      <c r="M144" s="166">
        <v>0</v>
      </c>
      <c r="N144" s="166">
        <v>0</v>
      </c>
      <c r="O144" s="166">
        <v>0</v>
      </c>
      <c r="P144" s="166">
        <v>0</v>
      </c>
      <c r="Q144" s="166">
        <v>0</v>
      </c>
      <c r="R144" s="166">
        <v>0</v>
      </c>
      <c r="S144" s="166">
        <v>0</v>
      </c>
      <c r="T144" s="165">
        <v>0</v>
      </c>
      <c r="U144" s="165">
        <v>0</v>
      </c>
      <c r="V144" s="166">
        <v>0</v>
      </c>
      <c r="W144" s="166">
        <v>0</v>
      </c>
      <c r="X144" s="166">
        <v>0</v>
      </c>
      <c r="Y144" s="166">
        <v>0</v>
      </c>
      <c r="Z144" s="166">
        <v>0</v>
      </c>
      <c r="AA144" s="167"/>
      <c r="AB144" s="166">
        <v>0</v>
      </c>
      <c r="AC144" s="166">
        <v>0</v>
      </c>
      <c r="AD144" s="166">
        <v>0</v>
      </c>
      <c r="AE144" s="166">
        <v>0</v>
      </c>
      <c r="AF144" s="166">
        <v>0</v>
      </c>
      <c r="AG144" s="166">
        <v>0</v>
      </c>
    </row>
    <row r="145" spans="1:34" x14ac:dyDescent="0.25">
      <c r="A145" s="123"/>
      <c r="B145" s="168"/>
      <c r="C145" s="123"/>
      <c r="D145" s="123"/>
      <c r="E145" s="165">
        <v>0</v>
      </c>
      <c r="F145" s="166">
        <v>0</v>
      </c>
      <c r="G145" s="166">
        <v>0</v>
      </c>
      <c r="H145" s="166">
        <v>0</v>
      </c>
      <c r="I145" s="166">
        <v>0</v>
      </c>
      <c r="J145" s="166">
        <v>0</v>
      </c>
      <c r="K145" s="166">
        <v>0</v>
      </c>
      <c r="L145" s="166">
        <v>0</v>
      </c>
      <c r="M145" s="166">
        <v>0</v>
      </c>
      <c r="N145" s="166">
        <v>0</v>
      </c>
      <c r="O145" s="166">
        <v>0</v>
      </c>
      <c r="P145" s="166">
        <v>0</v>
      </c>
      <c r="Q145" s="166">
        <v>0</v>
      </c>
      <c r="R145" s="166">
        <v>0</v>
      </c>
      <c r="S145" s="166">
        <v>0</v>
      </c>
      <c r="T145" s="165">
        <v>0</v>
      </c>
      <c r="U145" s="165">
        <v>0</v>
      </c>
      <c r="V145" s="166">
        <v>0</v>
      </c>
      <c r="W145" s="166">
        <v>0</v>
      </c>
      <c r="X145" s="166">
        <v>0</v>
      </c>
      <c r="Y145" s="166">
        <v>0</v>
      </c>
      <c r="Z145" s="166">
        <v>0</v>
      </c>
      <c r="AA145" s="167"/>
      <c r="AB145" s="166">
        <v>0</v>
      </c>
      <c r="AC145" s="166">
        <v>0</v>
      </c>
      <c r="AD145" s="166">
        <v>0</v>
      </c>
      <c r="AE145" s="166">
        <v>0</v>
      </c>
      <c r="AF145" s="166">
        <v>0</v>
      </c>
      <c r="AG145" s="166">
        <v>0</v>
      </c>
    </row>
    <row r="146" spans="1:34" x14ac:dyDescent="0.25">
      <c r="A146" s="123"/>
      <c r="B146" s="168"/>
      <c r="C146" s="123"/>
      <c r="D146" s="123"/>
      <c r="E146" s="165">
        <v>0</v>
      </c>
      <c r="F146" s="166">
        <v>0</v>
      </c>
      <c r="G146" s="166">
        <v>0</v>
      </c>
      <c r="H146" s="166">
        <v>0</v>
      </c>
      <c r="I146" s="166">
        <v>0</v>
      </c>
      <c r="J146" s="166">
        <v>0</v>
      </c>
      <c r="K146" s="166">
        <v>0</v>
      </c>
      <c r="L146" s="166">
        <v>0</v>
      </c>
      <c r="M146" s="166">
        <v>0</v>
      </c>
      <c r="N146" s="166">
        <v>0</v>
      </c>
      <c r="O146" s="166">
        <v>0</v>
      </c>
      <c r="P146" s="166">
        <v>0</v>
      </c>
      <c r="Q146" s="166">
        <v>0</v>
      </c>
      <c r="R146" s="166">
        <v>0</v>
      </c>
      <c r="S146" s="166">
        <v>0</v>
      </c>
      <c r="T146" s="165">
        <v>0</v>
      </c>
      <c r="U146" s="165">
        <v>0</v>
      </c>
      <c r="V146" s="166">
        <v>0</v>
      </c>
      <c r="W146" s="166">
        <v>0</v>
      </c>
      <c r="X146" s="166">
        <v>0</v>
      </c>
      <c r="Y146" s="166">
        <v>0</v>
      </c>
      <c r="Z146" s="166">
        <v>0</v>
      </c>
      <c r="AA146" s="167"/>
      <c r="AB146" s="166">
        <v>0</v>
      </c>
      <c r="AC146" s="166">
        <v>0</v>
      </c>
      <c r="AD146" s="166">
        <v>0</v>
      </c>
      <c r="AE146" s="166">
        <v>0</v>
      </c>
      <c r="AF146" s="166">
        <v>0</v>
      </c>
      <c r="AG146" s="166">
        <v>0</v>
      </c>
    </row>
    <row r="147" spans="1:34" x14ac:dyDescent="0.25">
      <c r="A147" s="170"/>
      <c r="B147" s="171"/>
      <c r="C147" s="171"/>
      <c r="D147" s="171"/>
      <c r="E147" s="165">
        <v>0</v>
      </c>
      <c r="F147" s="166">
        <v>0</v>
      </c>
      <c r="G147" s="166">
        <v>0</v>
      </c>
      <c r="H147" s="166">
        <v>0</v>
      </c>
      <c r="I147" s="166">
        <v>0</v>
      </c>
      <c r="J147" s="166">
        <v>0</v>
      </c>
      <c r="K147" s="166">
        <v>0</v>
      </c>
      <c r="L147" s="166">
        <v>0</v>
      </c>
      <c r="M147" s="166">
        <v>0</v>
      </c>
      <c r="N147" s="166">
        <v>0</v>
      </c>
      <c r="O147" s="166">
        <v>0</v>
      </c>
      <c r="P147" s="166">
        <v>0</v>
      </c>
      <c r="Q147" s="166">
        <v>0</v>
      </c>
      <c r="R147" s="166">
        <v>0</v>
      </c>
      <c r="S147" s="166">
        <v>0</v>
      </c>
      <c r="T147" s="165">
        <v>0</v>
      </c>
      <c r="U147" s="165">
        <v>0</v>
      </c>
      <c r="V147" s="166">
        <v>0</v>
      </c>
      <c r="W147" s="166">
        <v>0</v>
      </c>
      <c r="X147" s="166">
        <v>0</v>
      </c>
      <c r="Y147" s="166">
        <v>0</v>
      </c>
      <c r="Z147" s="166">
        <v>0</v>
      </c>
      <c r="AA147" s="172"/>
      <c r="AB147" s="166">
        <v>0</v>
      </c>
      <c r="AC147" s="166">
        <v>0</v>
      </c>
      <c r="AD147" s="166">
        <v>0</v>
      </c>
      <c r="AE147" s="166">
        <v>0</v>
      </c>
      <c r="AF147" s="166">
        <v>0</v>
      </c>
      <c r="AG147" s="166">
        <v>0</v>
      </c>
    </row>
    <row r="148" spans="1:34" x14ac:dyDescent="0.25">
      <c r="A148" s="209" t="s">
        <v>244</v>
      </c>
      <c r="B148" s="210"/>
      <c r="C148" s="210"/>
      <c r="D148" s="211"/>
      <c r="E148" s="173">
        <f>+E143+E144+E145+E146+E147</f>
        <v>0</v>
      </c>
      <c r="F148" s="173">
        <f t="shared" ref="F148:X148" si="45">+F143+F144+F145+F146+F147</f>
        <v>4</v>
      </c>
      <c r="G148" s="173">
        <f t="shared" si="45"/>
        <v>0</v>
      </c>
      <c r="H148" s="173">
        <f t="shared" si="45"/>
        <v>0</v>
      </c>
      <c r="I148" s="173">
        <f t="shared" si="45"/>
        <v>0</v>
      </c>
      <c r="J148" s="173">
        <f t="shared" si="45"/>
        <v>0</v>
      </c>
      <c r="K148" s="173">
        <f t="shared" si="45"/>
        <v>0</v>
      </c>
      <c r="L148" s="173">
        <f t="shared" si="45"/>
        <v>0</v>
      </c>
      <c r="M148" s="173">
        <f t="shared" si="45"/>
        <v>0</v>
      </c>
      <c r="N148" s="173">
        <f t="shared" si="45"/>
        <v>0</v>
      </c>
      <c r="O148" s="173">
        <f t="shared" si="45"/>
        <v>0</v>
      </c>
      <c r="P148" s="173">
        <f t="shared" si="45"/>
        <v>0</v>
      </c>
      <c r="Q148" s="173">
        <f t="shared" si="45"/>
        <v>0</v>
      </c>
      <c r="R148" s="173">
        <f t="shared" si="45"/>
        <v>0</v>
      </c>
      <c r="S148" s="173">
        <f t="shared" si="45"/>
        <v>0</v>
      </c>
      <c r="T148" s="173">
        <f t="shared" si="45"/>
        <v>0</v>
      </c>
      <c r="U148" s="173">
        <f t="shared" si="45"/>
        <v>0</v>
      </c>
      <c r="V148" s="173">
        <f t="shared" si="45"/>
        <v>0</v>
      </c>
      <c r="W148" s="173">
        <f t="shared" si="45"/>
        <v>0</v>
      </c>
      <c r="X148" s="173">
        <f t="shared" si="45"/>
        <v>0</v>
      </c>
      <c r="Y148" s="173">
        <f t="shared" ref="Y148" si="46">SUM(Y141:Y147)</f>
        <v>0</v>
      </c>
      <c r="Z148" s="173">
        <f t="shared" ref="Z148" si="47">SUM(Z141:Z147)</f>
        <v>0</v>
      </c>
      <c r="AA148" s="174">
        <f>SUM(E148:Z148)</f>
        <v>4</v>
      </c>
      <c r="AB148" s="173">
        <f>+AB143+AB144+AB145+AB146+AB147</f>
        <v>0</v>
      </c>
      <c r="AC148" s="173">
        <f>+AC143+AC144+AC145+AC146+AC147</f>
        <v>0</v>
      </c>
      <c r="AD148" s="173">
        <f t="shared" ref="AD148:AG148" si="48">+AD143+AD144+AD145+AD146+AD147</f>
        <v>0</v>
      </c>
      <c r="AE148" s="173">
        <f t="shared" si="48"/>
        <v>0</v>
      </c>
      <c r="AF148" s="173">
        <f>+AF143+AF144+AF145+AF146+AF147</f>
        <v>0</v>
      </c>
      <c r="AG148" s="173">
        <f t="shared" si="48"/>
        <v>0</v>
      </c>
    </row>
    <row r="149" spans="1:34" x14ac:dyDescent="0.25">
      <c r="A149" s="209" t="s">
        <v>245</v>
      </c>
      <c r="B149" s="210"/>
      <c r="C149" s="210"/>
      <c r="D149" s="211"/>
      <c r="E149" s="175">
        <f t="shared" ref="E149:X149" si="49">E148*E5</f>
        <v>0</v>
      </c>
      <c r="F149" s="175">
        <f t="shared" si="49"/>
        <v>41977272.409228802</v>
      </c>
      <c r="G149" s="175">
        <f t="shared" si="49"/>
        <v>0</v>
      </c>
      <c r="H149" s="175">
        <f t="shared" si="49"/>
        <v>0</v>
      </c>
      <c r="I149" s="175">
        <f t="shared" si="49"/>
        <v>0</v>
      </c>
      <c r="J149" s="175">
        <f t="shared" si="49"/>
        <v>0</v>
      </c>
      <c r="K149" s="175">
        <f t="shared" si="49"/>
        <v>0</v>
      </c>
      <c r="L149" s="175">
        <f t="shared" si="49"/>
        <v>0</v>
      </c>
      <c r="M149" s="175">
        <f t="shared" si="49"/>
        <v>0</v>
      </c>
      <c r="N149" s="175">
        <f t="shared" si="49"/>
        <v>0</v>
      </c>
      <c r="O149" s="175">
        <f t="shared" si="49"/>
        <v>0</v>
      </c>
      <c r="P149" s="175">
        <f t="shared" si="49"/>
        <v>0</v>
      </c>
      <c r="Q149" s="175">
        <f t="shared" si="49"/>
        <v>0</v>
      </c>
      <c r="R149" s="175">
        <f t="shared" si="49"/>
        <v>0</v>
      </c>
      <c r="S149" s="175">
        <f t="shared" si="49"/>
        <v>0</v>
      </c>
      <c r="T149" s="175">
        <f t="shared" si="49"/>
        <v>0</v>
      </c>
      <c r="U149" s="175">
        <f t="shared" si="49"/>
        <v>0</v>
      </c>
      <c r="V149" s="175">
        <f t="shared" si="49"/>
        <v>0</v>
      </c>
      <c r="W149" s="175">
        <f t="shared" si="49"/>
        <v>0</v>
      </c>
      <c r="X149" s="175">
        <f t="shared" si="49"/>
        <v>0</v>
      </c>
      <c r="Y149" s="175">
        <f>Y148*Y17</f>
        <v>0</v>
      </c>
      <c r="Z149" s="175">
        <f>Z148*Z17</f>
        <v>0</v>
      </c>
      <c r="AA149" s="176">
        <f>SUM(E149:Z149)</f>
        <v>41977272.409228802</v>
      </c>
      <c r="AB149" s="175">
        <f t="shared" ref="AB149:AG149" si="50">AB148*AB5</f>
        <v>0</v>
      </c>
      <c r="AC149" s="175">
        <f t="shared" si="50"/>
        <v>0</v>
      </c>
      <c r="AD149" s="175">
        <f t="shared" si="50"/>
        <v>0</v>
      </c>
      <c r="AE149" s="175">
        <f t="shared" si="50"/>
        <v>0</v>
      </c>
      <c r="AF149" s="175">
        <f t="shared" si="50"/>
        <v>0</v>
      </c>
      <c r="AG149" s="175">
        <f t="shared" si="50"/>
        <v>0</v>
      </c>
    </row>
    <row r="150" spans="1:34" ht="15.75" thickBot="1" x14ac:dyDescent="0.3">
      <c r="A150" s="212" t="s">
        <v>238</v>
      </c>
      <c r="B150" s="213"/>
      <c r="C150" s="213"/>
      <c r="D150" s="214"/>
      <c r="E150" s="177">
        <f t="shared" ref="E150:X150" si="51">+E136+E148</f>
        <v>8</v>
      </c>
      <c r="F150" s="177">
        <f t="shared" si="51"/>
        <v>237</v>
      </c>
      <c r="G150" s="177">
        <f t="shared" si="51"/>
        <v>12</v>
      </c>
      <c r="H150" s="177">
        <f t="shared" si="51"/>
        <v>2</v>
      </c>
      <c r="I150" s="177">
        <f t="shared" si="51"/>
        <v>0</v>
      </c>
      <c r="J150" s="177">
        <f t="shared" si="51"/>
        <v>0</v>
      </c>
      <c r="K150" s="177">
        <f t="shared" si="51"/>
        <v>0</v>
      </c>
      <c r="L150" s="177">
        <f t="shared" si="51"/>
        <v>5</v>
      </c>
      <c r="M150" s="177">
        <f t="shared" si="51"/>
        <v>0</v>
      </c>
      <c r="N150" s="177">
        <f t="shared" si="51"/>
        <v>11</v>
      </c>
      <c r="O150" s="177">
        <f t="shared" si="51"/>
        <v>4</v>
      </c>
      <c r="P150" s="177">
        <f t="shared" si="51"/>
        <v>3</v>
      </c>
      <c r="Q150" s="177">
        <f t="shared" si="51"/>
        <v>7</v>
      </c>
      <c r="R150" s="177">
        <f t="shared" si="51"/>
        <v>3</v>
      </c>
      <c r="S150" s="177">
        <f t="shared" si="51"/>
        <v>0</v>
      </c>
      <c r="T150" s="177">
        <f t="shared" si="51"/>
        <v>4</v>
      </c>
      <c r="U150" s="177">
        <f t="shared" si="51"/>
        <v>1</v>
      </c>
      <c r="V150" s="177">
        <f t="shared" si="51"/>
        <v>1</v>
      </c>
      <c r="W150" s="177">
        <f t="shared" si="51"/>
        <v>0</v>
      </c>
      <c r="X150" s="177">
        <f t="shared" si="51"/>
        <v>1</v>
      </c>
      <c r="Y150" s="177">
        <f>+Y45+Y60+Y82+Y92+Y108+Y124+Y135+Y148</f>
        <v>0</v>
      </c>
      <c r="Z150" s="177">
        <f>+Z45+Z60+Z82+Z92+Z108+Z124+Z135+Z148</f>
        <v>0</v>
      </c>
      <c r="AA150" s="178">
        <f>SUM(E150:Z150)</f>
        <v>299</v>
      </c>
      <c r="AB150" s="177">
        <f t="shared" ref="AB150:AG150" si="52">+AB136+AB148</f>
        <v>1222</v>
      </c>
      <c r="AC150" s="177">
        <f t="shared" si="52"/>
        <v>109</v>
      </c>
      <c r="AD150" s="177">
        <f t="shared" si="52"/>
        <v>90</v>
      </c>
      <c r="AE150" s="177">
        <f t="shared" si="52"/>
        <v>86</v>
      </c>
      <c r="AF150" s="177">
        <f t="shared" si="52"/>
        <v>41</v>
      </c>
      <c r="AG150" s="177">
        <f t="shared" si="52"/>
        <v>127</v>
      </c>
      <c r="AH150" s="179">
        <f>SUM(AB150:AG150)</f>
        <v>1675</v>
      </c>
    </row>
    <row r="151" spans="1:34" ht="15.75" thickBot="1" x14ac:dyDescent="0.3">
      <c r="A151" s="215" t="s">
        <v>246</v>
      </c>
      <c r="B151" s="216"/>
      <c r="C151" s="216"/>
      <c r="D151" s="217"/>
      <c r="E151" s="180">
        <f>+E139+E149</f>
        <v>85509258.96800001</v>
      </c>
      <c r="F151" s="180">
        <f t="shared" ref="F151:AG151" si="53">+F139+F149</f>
        <v>2486175018.8396292</v>
      </c>
      <c r="G151" s="180">
        <f t="shared" si="53"/>
        <v>125931817.42560002</v>
      </c>
      <c r="H151" s="180">
        <f t="shared" si="53"/>
        <v>21571653.619200002</v>
      </c>
      <c r="I151" s="180">
        <f t="shared" si="53"/>
        <v>0</v>
      </c>
      <c r="J151" s="180">
        <f t="shared" si="53"/>
        <v>0</v>
      </c>
      <c r="K151" s="180">
        <f t="shared" si="53"/>
        <v>0</v>
      </c>
      <c r="L151" s="180">
        <f t="shared" si="53"/>
        <v>32471328.610770617</v>
      </c>
      <c r="M151" s="180">
        <f t="shared" si="53"/>
        <v>0</v>
      </c>
      <c r="N151" s="180">
        <f t="shared" si="53"/>
        <v>53396056.40777152</v>
      </c>
      <c r="O151" s="180">
        <f t="shared" si="53"/>
        <v>18440293.124905549</v>
      </c>
      <c r="P151" s="180">
        <f t="shared" si="53"/>
        <v>8643887.6835494768</v>
      </c>
      <c r="Q151" s="180">
        <f t="shared" si="53"/>
        <v>24202883.913938537</v>
      </c>
      <c r="R151" s="180">
        <f t="shared" si="53"/>
        <v>17652734.512720838</v>
      </c>
      <c r="S151" s="180">
        <f t="shared" si="53"/>
        <v>0</v>
      </c>
      <c r="T151" s="180">
        <f t="shared" si="53"/>
        <v>23972849.227151755</v>
      </c>
      <c r="U151" s="180">
        <f t="shared" si="53"/>
        <v>4074127.4086207999</v>
      </c>
      <c r="V151" s="180">
        <f t="shared" si="53"/>
        <v>4000052.5466458765</v>
      </c>
      <c r="W151" s="180">
        <f t="shared" si="53"/>
        <v>0</v>
      </c>
      <c r="X151" s="180">
        <f t="shared" si="53"/>
        <v>2262057.5156131936</v>
      </c>
      <c r="Y151" s="180">
        <f t="shared" si="53"/>
        <v>0</v>
      </c>
      <c r="Z151" s="180">
        <f t="shared" si="53"/>
        <v>0</v>
      </c>
      <c r="AA151" s="153">
        <f>SUM(E151:Z151)</f>
        <v>2908304019.8041177</v>
      </c>
      <c r="AB151" s="180">
        <f t="shared" si="53"/>
        <v>19555441.688888889</v>
      </c>
      <c r="AC151" s="180">
        <f t="shared" si="53"/>
        <v>6745574.0888888892</v>
      </c>
      <c r="AD151" s="180">
        <f t="shared" si="53"/>
        <v>7155586</v>
      </c>
      <c r="AE151" s="180">
        <f t="shared" si="53"/>
        <v>4972092.777777778</v>
      </c>
      <c r="AF151" s="180">
        <f t="shared" si="53"/>
        <v>7472111.6888888888</v>
      </c>
      <c r="AG151" s="180">
        <f t="shared" si="53"/>
        <v>7760914.8666666672</v>
      </c>
      <c r="AH151" s="153">
        <f>SUM(AB151:AG151)</f>
        <v>53661721.111111112</v>
      </c>
    </row>
    <row r="152" spans="1:34" x14ac:dyDescent="0.25">
      <c r="C152" s="181"/>
    </row>
    <row r="153" spans="1:34" ht="15.75" x14ac:dyDescent="0.25">
      <c r="A153" s="218" t="s">
        <v>247</v>
      </c>
      <c r="B153" s="218"/>
      <c r="C153" s="218"/>
    </row>
    <row r="154" spans="1:34" x14ac:dyDescent="0.25">
      <c r="C154" s="181"/>
    </row>
    <row r="155" spans="1:34" ht="47.25" x14ac:dyDescent="0.25">
      <c r="B155" s="182" t="s">
        <v>251</v>
      </c>
      <c r="C155" s="182" t="s">
        <v>249</v>
      </c>
    </row>
    <row r="156" spans="1:34" ht="15.75" x14ac:dyDescent="0.25">
      <c r="B156" s="183">
        <f>+AA151</f>
        <v>2908304019.8041177</v>
      </c>
      <c r="C156" s="183">
        <f>+AH151</f>
        <v>53661721.111111112</v>
      </c>
    </row>
  </sheetData>
  <mergeCells count="34">
    <mergeCell ref="A149:D149"/>
    <mergeCell ref="A150:D150"/>
    <mergeCell ref="A151:D151"/>
    <mergeCell ref="A153:C153"/>
    <mergeCell ref="A136:D136"/>
    <mergeCell ref="A137:D137"/>
    <mergeCell ref="A138:D138"/>
    <mergeCell ref="A139:D139"/>
    <mergeCell ref="A141:D141"/>
    <mergeCell ref="A148:D148"/>
    <mergeCell ref="A135:D135"/>
    <mergeCell ref="A83:D83"/>
    <mergeCell ref="A96:D96"/>
    <mergeCell ref="B98:C98"/>
    <mergeCell ref="A99:D99"/>
    <mergeCell ref="A112:D112"/>
    <mergeCell ref="B114:C114"/>
    <mergeCell ref="A115:D115"/>
    <mergeCell ref="A123:D123"/>
    <mergeCell ref="B125:C125"/>
    <mergeCell ref="A126:D126"/>
    <mergeCell ref="A134:D134"/>
    <mergeCell ref="B82:C82"/>
    <mergeCell ref="A2:C5"/>
    <mergeCell ref="A33:D33"/>
    <mergeCell ref="B35:C35"/>
    <mergeCell ref="A36:D36"/>
    <mergeCell ref="A48:D48"/>
    <mergeCell ref="B50:C50"/>
    <mergeCell ref="A51:D51"/>
    <mergeCell ref="A70:D70"/>
    <mergeCell ref="B72:C72"/>
    <mergeCell ref="A73:D73"/>
    <mergeCell ref="A80:D80"/>
  </mergeCells>
  <conditionalFormatting sqref="AB152:AG1048576">
    <cfRule type="cellIs" dxfId="1" priority="1" operator="greaterThan">
      <formula>0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A0FC-C1B6-44D9-B114-2D60516E6C05}">
  <sheetPr>
    <tabColor rgb="FFFFFF00"/>
  </sheetPr>
  <dimension ref="A1:AH156"/>
  <sheetViews>
    <sheetView topLeftCell="T1" zoomScale="80" zoomScaleNormal="80" workbookViewId="0">
      <selection activeCell="AB2" sqref="AB2:AG2"/>
    </sheetView>
  </sheetViews>
  <sheetFormatPr baseColWidth="10" defaultColWidth="11.42578125" defaultRowHeight="15" x14ac:dyDescent="0.25"/>
  <cols>
    <col min="1" max="1" width="21.140625" customWidth="1"/>
    <col min="2" max="2" width="31.42578125" customWidth="1"/>
    <col min="3" max="3" width="22.28515625" customWidth="1"/>
    <col min="4" max="4" width="19.42578125" bestFit="1" customWidth="1"/>
    <col min="5" max="7" width="16.42578125" customWidth="1"/>
    <col min="8" max="8" width="19.28515625" bestFit="1" customWidth="1"/>
    <col min="9" max="9" width="18.5703125" style="160" customWidth="1"/>
    <col min="10" max="10" width="14.28515625" style="160" customWidth="1"/>
    <col min="11" max="11" width="16.42578125" style="160" customWidth="1"/>
    <col min="12" max="12" width="16.42578125" customWidth="1"/>
    <col min="13" max="13" width="15.85546875" style="160" customWidth="1"/>
    <col min="14" max="17" width="16.42578125" customWidth="1"/>
    <col min="18" max="18" width="18.42578125" customWidth="1"/>
    <col min="19" max="19" width="16.85546875" style="160" customWidth="1"/>
    <col min="20" max="22" width="16.42578125" customWidth="1"/>
    <col min="23" max="23" width="16.42578125" style="160" hidden="1" customWidth="1"/>
    <col min="24" max="24" width="17.42578125" customWidth="1"/>
    <col min="25" max="25" width="12" style="160" customWidth="1"/>
    <col min="26" max="26" width="12.28515625" style="160" customWidth="1"/>
    <col min="27" max="27" width="19.42578125" customWidth="1"/>
    <col min="28" max="30" width="15.28515625" bestFit="1" customWidth="1"/>
    <col min="31" max="31" width="13.85546875" bestFit="1" customWidth="1"/>
    <col min="32" max="33" width="13.5703125" bestFit="1" customWidth="1"/>
    <col min="34" max="34" width="13.85546875" bestFit="1" customWidth="1"/>
  </cols>
  <sheetData>
    <row r="1" spans="1:33" ht="15.75" thickBot="1" x14ac:dyDescent="0.3">
      <c r="E1" s="191"/>
      <c r="F1" s="192"/>
      <c r="G1" s="191"/>
      <c r="H1" s="192">
        <v>1750905</v>
      </c>
      <c r="I1" s="192">
        <v>10.210000000000001</v>
      </c>
      <c r="J1" s="192">
        <v>2850</v>
      </c>
      <c r="K1" s="192"/>
      <c r="L1" s="192"/>
      <c r="M1" s="192"/>
      <c r="N1" s="192"/>
      <c r="O1" s="192"/>
      <c r="P1" s="193"/>
      <c r="Q1" s="193"/>
      <c r="R1" s="192"/>
      <c r="S1" s="192"/>
      <c r="T1" s="194"/>
      <c r="U1" s="192"/>
      <c r="V1" s="192"/>
      <c r="W1" s="192"/>
      <c r="X1" s="192"/>
      <c r="Y1" s="192"/>
      <c r="Z1" s="192"/>
    </row>
    <row r="2" spans="1:33" x14ac:dyDescent="0.25">
      <c r="A2" s="200" t="s">
        <v>0</v>
      </c>
      <c r="B2" s="200"/>
      <c r="C2" s="200"/>
      <c r="D2" s="1" t="s">
        <v>1</v>
      </c>
      <c r="E2" s="197">
        <f>(($H$1*$I$1)+$J$1)</f>
        <v>17879590.050000001</v>
      </c>
      <c r="F2" s="197">
        <f>(($H$1*$I$1)+$J$1)</f>
        <v>17879590.050000001</v>
      </c>
      <c r="G2" s="197">
        <f>(($H$1*$I$1)+$J$1)</f>
        <v>17879590.050000001</v>
      </c>
      <c r="H2" s="197">
        <f>(($H$1*$I$1)+$J$1)</f>
        <v>17879590.050000001</v>
      </c>
      <c r="I2" s="197">
        <f>(($H$1*$I$1)+$J$1)/30*20</f>
        <v>11919726.700000001</v>
      </c>
      <c r="J2" s="197">
        <f>(($H$1*$I$1)+$J$1)/30*24</f>
        <v>14303672.040000003</v>
      </c>
      <c r="K2" s="197">
        <f>((($H$1*$I$1)+$J$1)*0.4759/13*5)+((($H$1*$I$1)+$J$1)*0.5241/11*11)</f>
        <v>12643345.800895385</v>
      </c>
      <c r="L2" s="197">
        <f>((($H$1*$I$1)+$J$1)*0.4759/13*13)+((($H$1*$I$1)+$J$1)*0.5241/11*3)</f>
        <v>11064540.489850909</v>
      </c>
      <c r="M2" s="197">
        <f>((($H$1*$I$1)+$J$1)*0.4759/30*20/13*13)+((($H$1*$I$1)+$J$1)*0.5241/30*20/11*3)</f>
        <v>7376360.3265672736</v>
      </c>
      <c r="N2" s="197">
        <f>((($H$1*$I$1)+$J$1)*0.4759/30*24/13*13)+((($H$1*$I$1)+$J$1)*0.5241/30*24/11*3)</f>
        <v>8851632.3918807264</v>
      </c>
      <c r="O2" s="197">
        <f>(($H$1*$I$1)+$J$1)*0.4759/13*12</f>
        <v>7854366.373656923</v>
      </c>
      <c r="P2" s="197">
        <f>(($H$1*$I$1)+$J$1)*0.4759/30*20/13*12</f>
        <v>5236244.2491046153</v>
      </c>
      <c r="Q2" s="197">
        <f>(($H$1*$I$1)+$J$1)*0.4759/30*24/13*12</f>
        <v>6283493.0989255384</v>
      </c>
      <c r="R2" s="197">
        <f>((($H$1*$I$1)+$J$1)*0.4759/13*1)+((($H$1*$I$1)+$J$1)*0.5241/11*11)</f>
        <v>10025223.676343078</v>
      </c>
      <c r="S2" s="197">
        <f>((($H$1*$I$1)+$J$1)*0.4759/30*24/13*1)+((($H$1*$I$1)+$J$1)*0.5241/30*24/11*11)</f>
        <v>8020178.9410744617</v>
      </c>
      <c r="T2" s="197">
        <f>((($H$1*$I$1)+$J$1)*0.4759/13*1)+((($H$1*$I$1)+$J$1)*0.5241/11*11)</f>
        <v>10025223.676343078</v>
      </c>
      <c r="U2" s="197">
        <f>((($H$1*$I$1)+$J$1)*0.5241/11*8)</f>
        <v>6815049.5601490913</v>
      </c>
      <c r="V2" s="197">
        <f>((($H$1*$I$1)+$J$1)*0.5241/11*8)</f>
        <v>6815049.5601490913</v>
      </c>
      <c r="W2" s="197">
        <f>((($H$1*$I$1)+$J$1)*0.5241/30*20/11*8)</f>
        <v>4543366.3734327266</v>
      </c>
      <c r="X2" s="197">
        <f>(($H$1*$I$1)+$J$1)*0.4759/30*24/13*8</f>
        <v>4188995.3992836922</v>
      </c>
      <c r="Y2" s="197">
        <f>(($H$1*$I$1)+$J$1)*0.4759/30*20/13*8</f>
        <v>3490829.4994030772</v>
      </c>
      <c r="Z2" s="197">
        <f>(($H$1*$I$1)+$J$1)*0.4759/13*8</f>
        <v>5236244.2491046153</v>
      </c>
      <c r="AA2" s="3"/>
      <c r="AB2" s="2">
        <f>+'ZONA 1 9,77'!AB2</f>
        <v>25383.666666666668</v>
      </c>
      <c r="AC2" s="2">
        <f>+'ZONA 1 9,77'!AC2</f>
        <v>98665.666666666672</v>
      </c>
      <c r="AD2" s="2">
        <f>+'ZONA 1 9,77'!AD2</f>
        <v>126394</v>
      </c>
      <c r="AE2" s="2">
        <f>+'ZONA 1 9,77'!AE2</f>
        <v>91776.666666666672</v>
      </c>
      <c r="AF2" s="2">
        <f>+'ZONA 1 9,77'!AF2</f>
        <v>289407.33333333331</v>
      </c>
      <c r="AG2" s="2">
        <f>+'ZONA 1 9,77'!AG2</f>
        <v>97388</v>
      </c>
    </row>
    <row r="3" spans="1:33" x14ac:dyDescent="0.25">
      <c r="A3" s="200"/>
      <c r="B3" s="200"/>
      <c r="C3" s="200"/>
      <c r="D3" s="4" t="s">
        <v>2</v>
      </c>
      <c r="E3" s="193">
        <f>E2*10%</f>
        <v>1787959.0050000001</v>
      </c>
      <c r="F3" s="193">
        <f>F2*8%</f>
        <v>1430367.2040000001</v>
      </c>
      <c r="G3" s="193">
        <f>G2*8%</f>
        <v>1430367.2040000001</v>
      </c>
      <c r="H3" s="193">
        <f>H2*11%</f>
        <v>1966754.9055000001</v>
      </c>
      <c r="I3" s="193">
        <f>I2*8%</f>
        <v>953578.13600000006</v>
      </c>
      <c r="J3" s="193">
        <f>J2*8%</f>
        <v>1144293.7632000002</v>
      </c>
      <c r="K3" s="193">
        <f>K2*8%</f>
        <v>1011467.6640716308</v>
      </c>
      <c r="L3" s="193">
        <f t="shared" ref="L3:S3" si="0">L2*8%</f>
        <v>885163.23918807274</v>
      </c>
      <c r="M3" s="193">
        <f t="shared" si="0"/>
        <v>590108.82612538186</v>
      </c>
      <c r="N3" s="193">
        <f t="shared" si="0"/>
        <v>708130.5913504581</v>
      </c>
      <c r="O3" s="193">
        <f t="shared" si="0"/>
        <v>628349.30989255384</v>
      </c>
      <c r="P3" s="193">
        <f t="shared" si="0"/>
        <v>418899.53992836922</v>
      </c>
      <c r="Q3" s="193">
        <f t="shared" si="0"/>
        <v>502679.44791404309</v>
      </c>
      <c r="R3" s="193">
        <f t="shared" si="0"/>
        <v>802017.89410744619</v>
      </c>
      <c r="S3" s="193">
        <f t="shared" si="0"/>
        <v>641614.31528595695</v>
      </c>
      <c r="T3" s="193">
        <f>T2*10%</f>
        <v>1002522.3676343078</v>
      </c>
      <c r="U3" s="193">
        <f>U2*10%</f>
        <v>681504.9560149092</v>
      </c>
      <c r="V3" s="193">
        <f>V2*8%</f>
        <v>545203.96481192729</v>
      </c>
      <c r="W3" s="193">
        <f>W2*8%</f>
        <v>363469.30987461813</v>
      </c>
      <c r="X3" s="193">
        <f>X2*8%</f>
        <v>335119.63194269541</v>
      </c>
      <c r="Y3" s="193">
        <f>Y2*8%</f>
        <v>279266.35995224619</v>
      </c>
      <c r="Z3" s="193">
        <f>Z2*8%</f>
        <v>418899.53992836922</v>
      </c>
      <c r="AA3" s="3"/>
      <c r="AB3" s="2"/>
      <c r="AC3" s="2"/>
      <c r="AD3" s="2"/>
      <c r="AE3" s="2"/>
      <c r="AF3" s="2"/>
      <c r="AG3" s="2"/>
    </row>
    <row r="4" spans="1:33" ht="15.75" thickBot="1" x14ac:dyDescent="0.3">
      <c r="A4" s="200"/>
      <c r="B4" s="200"/>
      <c r="C4" s="200"/>
      <c r="D4" s="5" t="s">
        <v>3</v>
      </c>
      <c r="E4" s="193">
        <f>(E2+E3)*0.019</f>
        <v>373683.43204499997</v>
      </c>
      <c r="F4" s="193">
        <f t="shared" ref="F4:Z4" si="1">(F2+F3)*0.019</f>
        <v>366889.18782599998</v>
      </c>
      <c r="G4" s="193">
        <f t="shared" si="1"/>
        <v>366889.18782599998</v>
      </c>
      <c r="H4" s="193">
        <f t="shared" si="1"/>
        <v>377080.55415449996</v>
      </c>
      <c r="I4" s="193">
        <f t="shared" si="1"/>
        <v>244592.79188400001</v>
      </c>
      <c r="J4" s="193">
        <f t="shared" si="1"/>
        <v>293511.35026080004</v>
      </c>
      <c r="K4" s="193">
        <f t="shared" si="1"/>
        <v>259441.45583437331</v>
      </c>
      <c r="L4" s="193">
        <f t="shared" si="1"/>
        <v>227044.37085174065</v>
      </c>
      <c r="M4" s="193">
        <f t="shared" si="1"/>
        <v>151362.91390116044</v>
      </c>
      <c r="N4" s="193">
        <f t="shared" si="1"/>
        <v>181635.49668139251</v>
      </c>
      <c r="O4" s="193">
        <f t="shared" si="1"/>
        <v>161171.59798744007</v>
      </c>
      <c r="P4" s="193">
        <f t="shared" si="1"/>
        <v>107447.7319916267</v>
      </c>
      <c r="Q4" s="193">
        <f t="shared" si="1"/>
        <v>128937.27838995206</v>
      </c>
      <c r="R4" s="193">
        <f t="shared" si="1"/>
        <v>205717.58983855994</v>
      </c>
      <c r="S4" s="193">
        <f t="shared" si="1"/>
        <v>164574.07187084795</v>
      </c>
      <c r="T4" s="193">
        <f t="shared" si="1"/>
        <v>209527.17483557033</v>
      </c>
      <c r="U4" s="193">
        <f t="shared" si="1"/>
        <v>142434.53580711599</v>
      </c>
      <c r="V4" s="193">
        <f t="shared" si="1"/>
        <v>139844.81697425936</v>
      </c>
      <c r="W4" s="193">
        <f t="shared" si="1"/>
        <v>93229.877982839549</v>
      </c>
      <c r="X4" s="193">
        <f t="shared" si="1"/>
        <v>85958.185593301358</v>
      </c>
      <c r="Y4" s="193">
        <f t="shared" si="1"/>
        <v>71631.821327751139</v>
      </c>
      <c r="Z4" s="193">
        <f t="shared" si="1"/>
        <v>107447.7319916267</v>
      </c>
      <c r="AA4" s="3"/>
      <c r="AB4" s="2">
        <f>+AB2*0.19</f>
        <v>4822.8966666666665</v>
      </c>
      <c r="AC4" s="2">
        <f t="shared" ref="AC4:AG4" si="2">+AC2*0.19</f>
        <v>18746.476666666669</v>
      </c>
      <c r="AD4" s="2">
        <f t="shared" si="2"/>
        <v>24014.86</v>
      </c>
      <c r="AE4" s="2">
        <f t="shared" si="2"/>
        <v>17437.566666666669</v>
      </c>
      <c r="AF4" s="2">
        <f t="shared" si="2"/>
        <v>54987.393333333333</v>
      </c>
      <c r="AG4" s="2">
        <f t="shared" si="2"/>
        <v>18503.72</v>
      </c>
    </row>
    <row r="5" spans="1:33" ht="15.75" thickBot="1" x14ac:dyDescent="0.3">
      <c r="A5" s="201"/>
      <c r="B5" s="201"/>
      <c r="C5" s="201"/>
      <c r="D5" s="6" t="s">
        <v>4</v>
      </c>
      <c r="E5" s="195">
        <f>+E2+E3+E4</f>
        <v>20041232.487045001</v>
      </c>
      <c r="F5" s="196">
        <f t="shared" ref="F5:Z5" si="3">+F2+F3+F4</f>
        <v>19676846.441826001</v>
      </c>
      <c r="G5" s="196">
        <f t="shared" si="3"/>
        <v>19676846.441826001</v>
      </c>
      <c r="H5" s="196">
        <f t="shared" si="3"/>
        <v>20223425.5096545</v>
      </c>
      <c r="I5" s="196">
        <f t="shared" si="3"/>
        <v>13117897.627884001</v>
      </c>
      <c r="J5" s="196">
        <f t="shared" si="3"/>
        <v>15741477.153460803</v>
      </c>
      <c r="K5" s="196">
        <f t="shared" si="3"/>
        <v>13914254.92080139</v>
      </c>
      <c r="L5" s="196">
        <f t="shared" si="3"/>
        <v>12176748.099890722</v>
      </c>
      <c r="M5" s="196">
        <f t="shared" si="3"/>
        <v>8117832.0665938156</v>
      </c>
      <c r="N5" s="196">
        <f t="shared" si="3"/>
        <v>9741398.4799125772</v>
      </c>
      <c r="O5" s="196">
        <f t="shared" si="3"/>
        <v>8643887.2815369163</v>
      </c>
      <c r="P5" s="196">
        <f t="shared" si="3"/>
        <v>5762591.5210246108</v>
      </c>
      <c r="Q5" s="196">
        <f t="shared" si="3"/>
        <v>6915109.8252295339</v>
      </c>
      <c r="R5" s="196">
        <f t="shared" si="3"/>
        <v>11032959.160289085</v>
      </c>
      <c r="S5" s="196">
        <f t="shared" si="3"/>
        <v>8826367.3282312676</v>
      </c>
      <c r="T5" s="196">
        <f t="shared" si="3"/>
        <v>11237273.218812956</v>
      </c>
      <c r="U5" s="196">
        <f t="shared" si="3"/>
        <v>7638989.0519711161</v>
      </c>
      <c r="V5" s="196">
        <f t="shared" si="3"/>
        <v>7500098.3419352779</v>
      </c>
      <c r="W5" s="196">
        <f t="shared" si="3"/>
        <v>5000065.561290185</v>
      </c>
      <c r="X5" s="196">
        <f t="shared" si="3"/>
        <v>4610073.2168196887</v>
      </c>
      <c r="Y5" s="196">
        <f t="shared" si="3"/>
        <v>3841727.6806830745</v>
      </c>
      <c r="Z5" s="196">
        <f t="shared" si="3"/>
        <v>5762591.5210246108</v>
      </c>
      <c r="AA5" s="3"/>
      <c r="AB5" s="2">
        <f>+AB2+AB4</f>
        <v>30206.563333333335</v>
      </c>
      <c r="AC5" s="2">
        <f>+AC2+AC4</f>
        <v>117412.14333333334</v>
      </c>
      <c r="AD5" s="2">
        <f t="shared" ref="AD5:AG5" si="4">+AD2+AD4</f>
        <v>150408.85999999999</v>
      </c>
      <c r="AE5" s="2">
        <f t="shared" si="4"/>
        <v>109214.23333333334</v>
      </c>
      <c r="AF5" s="2">
        <f t="shared" si="4"/>
        <v>344394.72666666663</v>
      </c>
      <c r="AG5" s="2">
        <f t="shared" si="4"/>
        <v>115891.72</v>
      </c>
    </row>
    <row r="6" spans="1:33" ht="108.75" thickBot="1" x14ac:dyDescent="0.3">
      <c r="A6" s="7" t="s">
        <v>5</v>
      </c>
      <c r="B6" s="8" t="s">
        <v>6</v>
      </c>
      <c r="C6" s="7" t="s">
        <v>7</v>
      </c>
      <c r="D6" s="9" t="s">
        <v>8</v>
      </c>
      <c r="E6" s="10" t="s">
        <v>9</v>
      </c>
      <c r="F6" s="11" t="s">
        <v>10</v>
      </c>
      <c r="G6" s="11" t="s">
        <v>11</v>
      </c>
      <c r="H6" s="11" t="s">
        <v>12</v>
      </c>
      <c r="I6" s="12" t="s">
        <v>13</v>
      </c>
      <c r="J6" s="12" t="s">
        <v>14</v>
      </c>
      <c r="K6" s="12" t="s">
        <v>273</v>
      </c>
      <c r="L6" s="11" t="s">
        <v>274</v>
      </c>
      <c r="M6" s="12" t="s">
        <v>275</v>
      </c>
      <c r="N6" s="11" t="s">
        <v>276</v>
      </c>
      <c r="O6" s="11" t="s">
        <v>19</v>
      </c>
      <c r="P6" s="11" t="s">
        <v>20</v>
      </c>
      <c r="Q6" s="11" t="s">
        <v>21</v>
      </c>
      <c r="R6" s="13" t="s">
        <v>277</v>
      </c>
      <c r="S6" s="14" t="s">
        <v>278</v>
      </c>
      <c r="T6" s="15" t="s">
        <v>24</v>
      </c>
      <c r="U6" s="11" t="s">
        <v>25</v>
      </c>
      <c r="V6" s="11" t="s">
        <v>26</v>
      </c>
      <c r="W6" s="12" t="s">
        <v>27</v>
      </c>
      <c r="X6" s="11" t="s">
        <v>28</v>
      </c>
      <c r="Y6" s="12" t="s">
        <v>29</v>
      </c>
      <c r="Z6" s="14" t="s">
        <v>30</v>
      </c>
      <c r="AA6" s="3"/>
      <c r="AB6" s="16" t="s">
        <v>31</v>
      </c>
      <c r="AC6" s="17" t="s">
        <v>32</v>
      </c>
      <c r="AD6" s="18" t="s">
        <v>33</v>
      </c>
      <c r="AE6" s="18" t="s">
        <v>34</v>
      </c>
      <c r="AF6" s="18" t="s">
        <v>35</v>
      </c>
      <c r="AG6" s="19" t="s">
        <v>36</v>
      </c>
    </row>
    <row r="7" spans="1:33" ht="27.75" thickBot="1" x14ac:dyDescent="0.3">
      <c r="A7" s="20" t="s">
        <v>37</v>
      </c>
      <c r="B7" s="21" t="s">
        <v>38</v>
      </c>
      <c r="C7" s="22" t="s">
        <v>39</v>
      </c>
      <c r="D7" s="22" t="s">
        <v>40</v>
      </c>
      <c r="E7" s="23">
        <v>0</v>
      </c>
      <c r="F7" s="23">
        <v>1</v>
      </c>
      <c r="G7" s="23">
        <v>0</v>
      </c>
      <c r="H7" s="23">
        <v>0</v>
      </c>
      <c r="I7" s="24">
        <v>0</v>
      </c>
      <c r="J7" s="24">
        <v>0</v>
      </c>
      <c r="K7" s="24">
        <v>0</v>
      </c>
      <c r="L7" s="23">
        <v>0</v>
      </c>
      <c r="M7" s="24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4">
        <v>0</v>
      </c>
      <c r="T7" s="23">
        <v>0</v>
      </c>
      <c r="U7" s="23">
        <v>0</v>
      </c>
      <c r="V7" s="23">
        <v>0</v>
      </c>
      <c r="W7" s="24">
        <v>0</v>
      </c>
      <c r="X7" s="23">
        <v>0</v>
      </c>
      <c r="Y7" s="24">
        <v>0</v>
      </c>
      <c r="Z7" s="25">
        <v>0</v>
      </c>
      <c r="AA7" s="3"/>
      <c r="AB7" s="26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</row>
    <row r="8" spans="1:33" ht="15.75" thickBot="1" x14ac:dyDescent="0.3">
      <c r="A8" s="28" t="s">
        <v>37</v>
      </c>
      <c r="B8" s="29" t="s">
        <v>41</v>
      </c>
      <c r="C8" s="30" t="s">
        <v>42</v>
      </c>
      <c r="D8" s="30" t="s">
        <v>40</v>
      </c>
      <c r="E8" s="31">
        <v>0</v>
      </c>
      <c r="F8" s="31">
        <v>2</v>
      </c>
      <c r="G8" s="31">
        <v>1</v>
      </c>
      <c r="H8" s="31">
        <v>0</v>
      </c>
      <c r="I8" s="32">
        <v>0</v>
      </c>
      <c r="J8" s="32">
        <v>0</v>
      </c>
      <c r="K8" s="24">
        <v>0</v>
      </c>
      <c r="L8" s="31">
        <v>0</v>
      </c>
      <c r="M8" s="32">
        <v>0</v>
      </c>
      <c r="N8" s="31">
        <v>0</v>
      </c>
      <c r="O8" s="31">
        <v>0</v>
      </c>
      <c r="P8" s="31">
        <v>0</v>
      </c>
      <c r="Q8" s="31">
        <v>5</v>
      </c>
      <c r="R8" s="31">
        <v>0</v>
      </c>
      <c r="S8" s="32">
        <v>0</v>
      </c>
      <c r="T8" s="31">
        <v>0</v>
      </c>
      <c r="U8" s="31">
        <v>0</v>
      </c>
      <c r="V8" s="31">
        <v>0</v>
      </c>
      <c r="W8" s="32">
        <v>0</v>
      </c>
      <c r="X8" s="31">
        <v>0</v>
      </c>
      <c r="Y8" s="32">
        <v>0</v>
      </c>
      <c r="Z8" s="33">
        <v>0</v>
      </c>
      <c r="AA8" s="3"/>
      <c r="AB8" s="26">
        <v>30</v>
      </c>
      <c r="AC8" s="26">
        <v>0</v>
      </c>
      <c r="AD8" s="26">
        <v>2</v>
      </c>
      <c r="AE8" s="26">
        <v>2</v>
      </c>
      <c r="AF8" s="26">
        <v>1</v>
      </c>
      <c r="AG8" s="26">
        <v>4</v>
      </c>
    </row>
    <row r="9" spans="1:33" ht="27.75" thickBot="1" x14ac:dyDescent="0.3">
      <c r="A9" s="28" t="s">
        <v>37</v>
      </c>
      <c r="B9" s="29" t="s">
        <v>43</v>
      </c>
      <c r="C9" s="30" t="s">
        <v>44</v>
      </c>
      <c r="D9" s="30" t="s">
        <v>40</v>
      </c>
      <c r="E9" s="31">
        <v>0</v>
      </c>
      <c r="F9" s="31">
        <v>3</v>
      </c>
      <c r="G9" s="31">
        <v>0</v>
      </c>
      <c r="H9" s="31">
        <v>0</v>
      </c>
      <c r="I9" s="32">
        <v>0</v>
      </c>
      <c r="J9" s="32">
        <v>0</v>
      </c>
      <c r="K9" s="24">
        <v>0</v>
      </c>
      <c r="L9" s="31">
        <v>0</v>
      </c>
      <c r="M9" s="32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2">
        <v>0</v>
      </c>
      <c r="T9" s="31">
        <v>0</v>
      </c>
      <c r="U9" s="31">
        <v>0</v>
      </c>
      <c r="V9" s="31">
        <v>0</v>
      </c>
      <c r="W9" s="32">
        <v>0</v>
      </c>
      <c r="X9" s="31">
        <v>0</v>
      </c>
      <c r="Y9" s="32">
        <v>0</v>
      </c>
      <c r="Z9" s="33">
        <v>0</v>
      </c>
      <c r="AA9" s="3"/>
      <c r="AB9" s="26">
        <f>30-2</f>
        <v>28</v>
      </c>
      <c r="AC9" s="26"/>
      <c r="AD9" s="26">
        <v>2</v>
      </c>
      <c r="AE9" s="26">
        <v>2</v>
      </c>
      <c r="AF9" s="26">
        <v>1</v>
      </c>
      <c r="AG9" s="26">
        <v>4</v>
      </c>
    </row>
    <row r="10" spans="1:33" ht="27.75" thickBot="1" x14ac:dyDescent="0.3">
      <c r="A10" s="28" t="s">
        <v>37</v>
      </c>
      <c r="B10" s="29" t="s">
        <v>45</v>
      </c>
      <c r="C10" s="30" t="s">
        <v>46</v>
      </c>
      <c r="D10" s="30" t="s">
        <v>40</v>
      </c>
      <c r="E10" s="31">
        <v>0</v>
      </c>
      <c r="F10" s="31">
        <v>3</v>
      </c>
      <c r="G10" s="31">
        <v>0</v>
      </c>
      <c r="H10" s="31">
        <v>0</v>
      </c>
      <c r="I10" s="32">
        <v>0</v>
      </c>
      <c r="J10" s="32">
        <v>0</v>
      </c>
      <c r="K10" s="24">
        <v>0</v>
      </c>
      <c r="L10" s="31">
        <v>0</v>
      </c>
      <c r="M10" s="32">
        <v>0</v>
      </c>
      <c r="N10" s="31">
        <v>1</v>
      </c>
      <c r="O10" s="31">
        <v>0</v>
      </c>
      <c r="P10" s="31">
        <v>0</v>
      </c>
      <c r="Q10" s="31">
        <v>0</v>
      </c>
      <c r="R10" s="31">
        <v>0</v>
      </c>
      <c r="S10" s="32">
        <v>0</v>
      </c>
      <c r="T10" s="31">
        <v>0</v>
      </c>
      <c r="U10" s="31">
        <v>0</v>
      </c>
      <c r="V10" s="31">
        <v>0</v>
      </c>
      <c r="W10" s="32">
        <v>0</v>
      </c>
      <c r="X10" s="31">
        <v>0</v>
      </c>
      <c r="Y10" s="32">
        <v>0</v>
      </c>
      <c r="Z10" s="33">
        <v>0</v>
      </c>
      <c r="AA10" s="3"/>
      <c r="AB10" s="26">
        <v>16</v>
      </c>
      <c r="AC10" s="26">
        <v>0</v>
      </c>
      <c r="AD10" s="26">
        <v>1</v>
      </c>
      <c r="AE10" s="26">
        <v>1</v>
      </c>
      <c r="AF10" s="26">
        <v>0</v>
      </c>
      <c r="AG10" s="26">
        <v>0</v>
      </c>
    </row>
    <row r="11" spans="1:33" ht="27.75" thickBot="1" x14ac:dyDescent="0.3">
      <c r="A11" s="28" t="s">
        <v>37</v>
      </c>
      <c r="B11" s="29" t="s">
        <v>47</v>
      </c>
      <c r="C11" s="30" t="s">
        <v>48</v>
      </c>
      <c r="D11" s="30" t="s">
        <v>40</v>
      </c>
      <c r="E11" s="31">
        <v>0</v>
      </c>
      <c r="F11" s="31">
        <v>4</v>
      </c>
      <c r="G11" s="31">
        <v>0</v>
      </c>
      <c r="H11" s="31">
        <v>0</v>
      </c>
      <c r="I11" s="32">
        <v>0</v>
      </c>
      <c r="J11" s="32">
        <v>0</v>
      </c>
      <c r="K11" s="24">
        <v>0</v>
      </c>
      <c r="L11" s="31">
        <v>0</v>
      </c>
      <c r="M11" s="32">
        <v>0</v>
      </c>
      <c r="N11" s="31">
        <v>1</v>
      </c>
      <c r="O11" s="31">
        <v>0</v>
      </c>
      <c r="P11" s="31">
        <v>0</v>
      </c>
      <c r="Q11" s="31">
        <v>0</v>
      </c>
      <c r="R11" s="31">
        <v>0</v>
      </c>
      <c r="S11" s="32">
        <v>0</v>
      </c>
      <c r="T11" s="31">
        <v>0</v>
      </c>
      <c r="U11" s="31">
        <v>0</v>
      </c>
      <c r="V11" s="31">
        <v>0</v>
      </c>
      <c r="W11" s="32">
        <v>0</v>
      </c>
      <c r="X11" s="31">
        <v>0</v>
      </c>
      <c r="Y11" s="32">
        <v>0</v>
      </c>
      <c r="Z11" s="33">
        <v>0</v>
      </c>
      <c r="AA11" s="3"/>
      <c r="AB11" s="26">
        <v>8</v>
      </c>
      <c r="AC11" s="26">
        <v>0</v>
      </c>
      <c r="AD11" s="26">
        <v>1</v>
      </c>
      <c r="AE11" s="26">
        <v>1</v>
      </c>
      <c r="AF11" s="26">
        <v>0</v>
      </c>
      <c r="AG11" s="26">
        <v>0</v>
      </c>
    </row>
    <row r="12" spans="1:33" ht="27.75" thickBot="1" x14ac:dyDescent="0.3">
      <c r="A12" s="28" t="s">
        <v>37</v>
      </c>
      <c r="B12" s="29" t="s">
        <v>49</v>
      </c>
      <c r="C12" s="30" t="s">
        <v>50</v>
      </c>
      <c r="D12" s="30" t="s">
        <v>40</v>
      </c>
      <c r="E12" s="31">
        <v>0</v>
      </c>
      <c r="F12" s="31">
        <v>3</v>
      </c>
      <c r="G12" s="31">
        <v>0</v>
      </c>
      <c r="H12" s="31">
        <v>0</v>
      </c>
      <c r="I12" s="32">
        <v>0</v>
      </c>
      <c r="J12" s="32">
        <v>0</v>
      </c>
      <c r="K12" s="24">
        <v>0</v>
      </c>
      <c r="L12" s="31">
        <v>0</v>
      </c>
      <c r="M12" s="32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2">
        <v>0</v>
      </c>
      <c r="T12" s="31">
        <v>0</v>
      </c>
      <c r="U12" s="31">
        <v>0</v>
      </c>
      <c r="V12" s="31">
        <v>0</v>
      </c>
      <c r="W12" s="32">
        <v>0</v>
      </c>
      <c r="X12" s="31">
        <v>0</v>
      </c>
      <c r="Y12" s="32">
        <v>0</v>
      </c>
      <c r="Z12" s="33">
        <v>0</v>
      </c>
      <c r="AA12" s="3"/>
      <c r="AB12" s="26">
        <v>4</v>
      </c>
      <c r="AC12" s="26">
        <v>0</v>
      </c>
      <c r="AD12" s="26">
        <v>1</v>
      </c>
      <c r="AE12" s="26">
        <v>1</v>
      </c>
      <c r="AF12" s="26">
        <v>0</v>
      </c>
      <c r="AG12" s="26">
        <v>0</v>
      </c>
    </row>
    <row r="13" spans="1:33" ht="27.75" thickBot="1" x14ac:dyDescent="0.3">
      <c r="A13" s="28" t="s">
        <v>37</v>
      </c>
      <c r="B13" s="34" t="s">
        <v>51</v>
      </c>
      <c r="C13" s="30" t="s">
        <v>52</v>
      </c>
      <c r="D13" s="30" t="s">
        <v>53</v>
      </c>
      <c r="E13" s="31">
        <v>0</v>
      </c>
      <c r="F13" s="31">
        <v>3</v>
      </c>
      <c r="G13" s="31">
        <v>0</v>
      </c>
      <c r="H13" s="31">
        <v>0</v>
      </c>
      <c r="I13" s="32">
        <v>0</v>
      </c>
      <c r="J13" s="32">
        <v>0</v>
      </c>
      <c r="K13" s="24">
        <v>0</v>
      </c>
      <c r="L13" s="31">
        <v>0</v>
      </c>
      <c r="M13" s="32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2">
        <v>0</v>
      </c>
      <c r="T13" s="31">
        <v>0</v>
      </c>
      <c r="U13" s="31">
        <v>0</v>
      </c>
      <c r="V13" s="31">
        <v>0</v>
      </c>
      <c r="W13" s="32">
        <v>0</v>
      </c>
      <c r="X13" s="31">
        <v>0</v>
      </c>
      <c r="Y13" s="32">
        <v>0</v>
      </c>
      <c r="Z13" s="33">
        <v>0</v>
      </c>
      <c r="AA13" s="3"/>
      <c r="AB13" s="26">
        <v>8</v>
      </c>
      <c r="AC13" s="26"/>
      <c r="AD13" s="26">
        <v>1</v>
      </c>
      <c r="AE13" s="26">
        <v>1</v>
      </c>
      <c r="AF13" s="26"/>
      <c r="AG13" s="26">
        <v>1</v>
      </c>
    </row>
    <row r="14" spans="1:33" ht="27.75" thickBot="1" x14ac:dyDescent="0.3">
      <c r="A14" s="28" t="s">
        <v>37</v>
      </c>
      <c r="B14" s="29" t="s">
        <v>54</v>
      </c>
      <c r="C14" s="30" t="s">
        <v>55</v>
      </c>
      <c r="D14" s="30" t="s">
        <v>40</v>
      </c>
      <c r="E14" s="31">
        <v>0</v>
      </c>
      <c r="F14" s="31">
        <v>3</v>
      </c>
      <c r="G14" s="31">
        <v>0</v>
      </c>
      <c r="H14" s="31">
        <v>0</v>
      </c>
      <c r="I14" s="32">
        <v>0</v>
      </c>
      <c r="J14" s="32">
        <v>0</v>
      </c>
      <c r="K14" s="24">
        <v>0</v>
      </c>
      <c r="L14" s="31">
        <v>0</v>
      </c>
      <c r="M14" s="32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2">
        <v>0</v>
      </c>
      <c r="T14" s="31">
        <v>0</v>
      </c>
      <c r="U14" s="31">
        <v>0</v>
      </c>
      <c r="V14" s="31">
        <v>0</v>
      </c>
      <c r="W14" s="32">
        <v>0</v>
      </c>
      <c r="X14" s="31">
        <v>0</v>
      </c>
      <c r="Y14" s="32">
        <v>0</v>
      </c>
      <c r="Z14" s="33">
        <v>0</v>
      </c>
      <c r="AA14" s="3"/>
      <c r="AB14" s="26">
        <v>10</v>
      </c>
      <c r="AC14" s="26">
        <v>2</v>
      </c>
      <c r="AD14" s="26">
        <v>1</v>
      </c>
      <c r="AE14" s="26">
        <v>1</v>
      </c>
      <c r="AF14" s="26">
        <v>1</v>
      </c>
      <c r="AG14" s="26">
        <v>1</v>
      </c>
    </row>
    <row r="15" spans="1:33" ht="27.75" thickBot="1" x14ac:dyDescent="0.3">
      <c r="A15" s="28" t="s">
        <v>37</v>
      </c>
      <c r="B15" s="29" t="s">
        <v>56</v>
      </c>
      <c r="C15" s="30" t="s">
        <v>57</v>
      </c>
      <c r="D15" s="30" t="s">
        <v>58</v>
      </c>
      <c r="E15" s="31">
        <v>0</v>
      </c>
      <c r="F15" s="31">
        <v>2</v>
      </c>
      <c r="G15" s="31">
        <v>0</v>
      </c>
      <c r="H15" s="31">
        <v>0</v>
      </c>
      <c r="I15" s="32">
        <v>0</v>
      </c>
      <c r="J15" s="32">
        <v>0</v>
      </c>
      <c r="K15" s="24">
        <v>0</v>
      </c>
      <c r="L15" s="31">
        <v>0</v>
      </c>
      <c r="M15" s="32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2">
        <v>0</v>
      </c>
      <c r="T15" s="31">
        <v>0</v>
      </c>
      <c r="U15" s="31">
        <v>0</v>
      </c>
      <c r="V15" s="31">
        <v>0</v>
      </c>
      <c r="W15" s="32">
        <v>0</v>
      </c>
      <c r="X15" s="31">
        <v>0</v>
      </c>
      <c r="Y15" s="32">
        <v>0</v>
      </c>
      <c r="Z15" s="33">
        <v>0</v>
      </c>
      <c r="AA15" s="3"/>
      <c r="AB15" s="26">
        <v>4</v>
      </c>
      <c r="AC15" s="26">
        <v>0</v>
      </c>
      <c r="AD15" s="26">
        <v>1</v>
      </c>
      <c r="AE15" s="26">
        <v>1</v>
      </c>
      <c r="AF15" s="26">
        <v>0</v>
      </c>
      <c r="AG15" s="26">
        <v>1</v>
      </c>
    </row>
    <row r="16" spans="1:33" ht="27.75" thickBot="1" x14ac:dyDescent="0.3">
      <c r="A16" s="28" t="s">
        <v>37</v>
      </c>
      <c r="B16" s="34" t="s">
        <v>51</v>
      </c>
      <c r="C16" s="30" t="s">
        <v>59</v>
      </c>
      <c r="D16" s="30" t="s">
        <v>60</v>
      </c>
      <c r="E16" s="31">
        <v>0</v>
      </c>
      <c r="F16" s="31">
        <v>3</v>
      </c>
      <c r="G16" s="31">
        <v>0</v>
      </c>
      <c r="H16" s="31">
        <v>0</v>
      </c>
      <c r="I16" s="32">
        <v>0</v>
      </c>
      <c r="J16" s="32">
        <v>0</v>
      </c>
      <c r="K16" s="24">
        <v>0</v>
      </c>
      <c r="L16" s="31">
        <v>1</v>
      </c>
      <c r="M16" s="32">
        <v>0</v>
      </c>
      <c r="N16" s="31">
        <v>0</v>
      </c>
      <c r="O16" s="31">
        <v>0</v>
      </c>
      <c r="P16" s="31">
        <v>0</v>
      </c>
      <c r="Q16" s="31">
        <v>0</v>
      </c>
      <c r="R16" s="31">
        <v>1</v>
      </c>
      <c r="S16" s="32">
        <v>0</v>
      </c>
      <c r="T16" s="31">
        <v>0</v>
      </c>
      <c r="U16" s="31">
        <v>0</v>
      </c>
      <c r="V16" s="31">
        <v>0</v>
      </c>
      <c r="W16" s="32">
        <v>0</v>
      </c>
      <c r="X16" s="31">
        <v>0</v>
      </c>
      <c r="Y16" s="32">
        <v>0</v>
      </c>
      <c r="Z16" s="33">
        <v>0</v>
      </c>
      <c r="AA16" s="3"/>
      <c r="AB16" s="35">
        <f>28</f>
        <v>28</v>
      </c>
      <c r="AC16" s="35">
        <v>4</v>
      </c>
      <c r="AD16" s="35">
        <v>1</v>
      </c>
      <c r="AE16" s="35">
        <v>1</v>
      </c>
      <c r="AF16" s="35">
        <v>1</v>
      </c>
      <c r="AG16" s="35">
        <f>4-4</f>
        <v>0</v>
      </c>
    </row>
    <row r="17" spans="1:33" ht="41.25" thickBot="1" x14ac:dyDescent="0.3">
      <c r="A17" s="28" t="s">
        <v>37</v>
      </c>
      <c r="B17" s="29" t="s">
        <v>61</v>
      </c>
      <c r="C17" s="30" t="s">
        <v>62</v>
      </c>
      <c r="D17" s="30" t="s">
        <v>60</v>
      </c>
      <c r="E17" s="31">
        <v>2</v>
      </c>
      <c r="F17" s="31">
        <v>3</v>
      </c>
      <c r="G17" s="31">
        <v>0</v>
      </c>
      <c r="H17" s="31">
        <v>0</v>
      </c>
      <c r="I17" s="32">
        <v>0</v>
      </c>
      <c r="J17" s="32">
        <v>0</v>
      </c>
      <c r="K17" s="24">
        <v>0</v>
      </c>
      <c r="L17" s="31">
        <v>0</v>
      </c>
      <c r="M17" s="32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2">
        <v>0</v>
      </c>
      <c r="T17" s="31">
        <v>0</v>
      </c>
      <c r="U17" s="31">
        <v>0</v>
      </c>
      <c r="V17" s="31">
        <v>0</v>
      </c>
      <c r="W17" s="32">
        <v>0</v>
      </c>
      <c r="X17" s="31">
        <v>0</v>
      </c>
      <c r="Y17" s="32">
        <v>0</v>
      </c>
      <c r="Z17" s="33">
        <v>0</v>
      </c>
      <c r="AA17" s="3"/>
      <c r="AB17" s="35">
        <v>32</v>
      </c>
      <c r="AC17" s="35">
        <v>5</v>
      </c>
      <c r="AD17" s="35">
        <v>3</v>
      </c>
      <c r="AE17" s="35">
        <v>3</v>
      </c>
      <c r="AF17" s="35">
        <v>1</v>
      </c>
      <c r="AG17" s="35">
        <f>3-3</f>
        <v>0</v>
      </c>
    </row>
    <row r="18" spans="1:33" ht="31.5" customHeight="1" thickBot="1" x14ac:dyDescent="0.3">
      <c r="A18" s="28" t="s">
        <v>37</v>
      </c>
      <c r="B18" s="34" t="s">
        <v>51</v>
      </c>
      <c r="C18" s="30" t="s">
        <v>63</v>
      </c>
      <c r="D18" s="30" t="s">
        <v>64</v>
      </c>
      <c r="E18" s="31">
        <v>0</v>
      </c>
      <c r="F18" s="31">
        <v>2</v>
      </c>
      <c r="G18" s="31">
        <v>0</v>
      </c>
      <c r="H18" s="31">
        <v>0</v>
      </c>
      <c r="I18" s="32">
        <v>0</v>
      </c>
      <c r="J18" s="32">
        <v>0</v>
      </c>
      <c r="K18" s="24">
        <v>0</v>
      </c>
      <c r="L18" s="31">
        <v>0</v>
      </c>
      <c r="M18" s="32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2">
        <v>0</v>
      </c>
      <c r="T18" s="31">
        <v>0</v>
      </c>
      <c r="U18" s="31">
        <v>0</v>
      </c>
      <c r="V18" s="31">
        <v>0</v>
      </c>
      <c r="W18" s="32">
        <v>0</v>
      </c>
      <c r="X18" s="31">
        <v>0</v>
      </c>
      <c r="Y18" s="32">
        <v>0</v>
      </c>
      <c r="Z18" s="33">
        <v>0</v>
      </c>
      <c r="AA18" s="3"/>
      <c r="AB18" s="26">
        <v>4</v>
      </c>
      <c r="AC18" s="26"/>
      <c r="AD18" s="26">
        <v>1</v>
      </c>
      <c r="AE18" s="26"/>
      <c r="AF18" s="26"/>
      <c r="AG18" s="26">
        <v>1</v>
      </c>
    </row>
    <row r="19" spans="1:33" ht="41.25" thickBot="1" x14ac:dyDescent="0.3">
      <c r="A19" s="28" t="s">
        <v>37</v>
      </c>
      <c r="B19" s="29" t="s">
        <v>65</v>
      </c>
      <c r="C19" s="30" t="s">
        <v>66</v>
      </c>
      <c r="D19" s="30" t="s">
        <v>40</v>
      </c>
      <c r="E19" s="31">
        <v>0</v>
      </c>
      <c r="F19" s="31">
        <v>2</v>
      </c>
      <c r="G19" s="31">
        <v>0</v>
      </c>
      <c r="H19" s="31">
        <v>0</v>
      </c>
      <c r="I19" s="32">
        <v>0</v>
      </c>
      <c r="J19" s="32">
        <v>0</v>
      </c>
      <c r="K19" s="24">
        <v>0</v>
      </c>
      <c r="L19" s="31">
        <v>0</v>
      </c>
      <c r="M19" s="32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2">
        <v>0</v>
      </c>
      <c r="T19" s="31">
        <v>0</v>
      </c>
      <c r="U19" s="31">
        <v>0</v>
      </c>
      <c r="V19" s="31">
        <v>0</v>
      </c>
      <c r="W19" s="32">
        <v>0</v>
      </c>
      <c r="X19" s="31">
        <v>0</v>
      </c>
      <c r="Y19" s="32">
        <v>0</v>
      </c>
      <c r="Z19" s="33">
        <v>0</v>
      </c>
      <c r="AA19" s="3"/>
      <c r="AB19" s="35">
        <v>8</v>
      </c>
      <c r="AC19" s="35">
        <v>0</v>
      </c>
      <c r="AD19" s="35">
        <v>1</v>
      </c>
      <c r="AE19" s="35">
        <v>1</v>
      </c>
      <c r="AF19" s="35">
        <v>0</v>
      </c>
      <c r="AG19" s="35">
        <f>1-1</f>
        <v>0</v>
      </c>
    </row>
    <row r="20" spans="1:33" ht="15.75" thickBot="1" x14ac:dyDescent="0.3">
      <c r="A20" s="28" t="s">
        <v>37</v>
      </c>
      <c r="B20" s="29" t="s">
        <v>67</v>
      </c>
      <c r="C20" s="36" t="s">
        <v>68</v>
      </c>
      <c r="D20" s="30" t="s">
        <v>40</v>
      </c>
      <c r="E20" s="31">
        <v>0</v>
      </c>
      <c r="F20" s="31">
        <v>2</v>
      </c>
      <c r="G20" s="31">
        <v>0</v>
      </c>
      <c r="H20" s="31">
        <v>0</v>
      </c>
      <c r="I20" s="32">
        <v>0</v>
      </c>
      <c r="J20" s="32">
        <v>0</v>
      </c>
      <c r="K20" s="24">
        <v>0</v>
      </c>
      <c r="L20" s="31">
        <v>1</v>
      </c>
      <c r="M20" s="32">
        <v>0</v>
      </c>
      <c r="N20" s="31">
        <v>0</v>
      </c>
      <c r="O20" s="31">
        <v>0</v>
      </c>
      <c r="P20" s="31">
        <v>0</v>
      </c>
      <c r="Q20" s="31">
        <v>1</v>
      </c>
      <c r="R20" s="31">
        <v>0</v>
      </c>
      <c r="S20" s="32">
        <v>0</v>
      </c>
      <c r="T20" s="31">
        <v>0</v>
      </c>
      <c r="U20" s="31">
        <v>0</v>
      </c>
      <c r="V20" s="31">
        <v>0</v>
      </c>
      <c r="W20" s="32">
        <v>0</v>
      </c>
      <c r="X20" s="31">
        <v>0</v>
      </c>
      <c r="Y20" s="32">
        <v>0</v>
      </c>
      <c r="Z20" s="33">
        <v>0</v>
      </c>
      <c r="AA20" s="3"/>
      <c r="AB20" s="26">
        <f>41-8</f>
        <v>33</v>
      </c>
      <c r="AC20" s="26">
        <v>1</v>
      </c>
      <c r="AD20" s="26">
        <v>2</v>
      </c>
      <c r="AE20" s="26">
        <v>2</v>
      </c>
      <c r="AF20" s="26">
        <v>1</v>
      </c>
      <c r="AG20" s="26">
        <v>4</v>
      </c>
    </row>
    <row r="21" spans="1:33" ht="27.75" thickBot="1" x14ac:dyDescent="0.3">
      <c r="A21" s="28" t="s">
        <v>37</v>
      </c>
      <c r="B21" s="29" t="s">
        <v>69</v>
      </c>
      <c r="C21" s="30" t="s">
        <v>70</v>
      </c>
      <c r="D21" s="30" t="s">
        <v>40</v>
      </c>
      <c r="E21" s="31">
        <v>0</v>
      </c>
      <c r="F21" s="31">
        <v>2</v>
      </c>
      <c r="G21" s="31">
        <v>0</v>
      </c>
      <c r="H21" s="31">
        <v>0</v>
      </c>
      <c r="I21" s="32">
        <v>0</v>
      </c>
      <c r="J21" s="32">
        <v>0</v>
      </c>
      <c r="K21" s="24">
        <v>0</v>
      </c>
      <c r="L21" s="31">
        <v>0</v>
      </c>
      <c r="M21" s="32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2">
        <v>0</v>
      </c>
      <c r="T21" s="31">
        <v>0</v>
      </c>
      <c r="U21" s="31">
        <v>0</v>
      </c>
      <c r="V21" s="31">
        <v>1</v>
      </c>
      <c r="W21" s="32">
        <v>0</v>
      </c>
      <c r="X21" s="31">
        <v>0</v>
      </c>
      <c r="Y21" s="32">
        <v>0</v>
      </c>
      <c r="Z21" s="33">
        <v>0</v>
      </c>
      <c r="AA21" s="3"/>
      <c r="AB21" s="26">
        <f>15</f>
        <v>15</v>
      </c>
      <c r="AC21" s="26">
        <v>0</v>
      </c>
      <c r="AD21" s="26">
        <v>1</v>
      </c>
      <c r="AE21" s="26">
        <v>1</v>
      </c>
      <c r="AF21" s="26">
        <v>1</v>
      </c>
      <c r="AG21" s="26">
        <v>4</v>
      </c>
    </row>
    <row r="22" spans="1:33" ht="27.75" thickBot="1" x14ac:dyDescent="0.3">
      <c r="A22" s="28" t="s">
        <v>37</v>
      </c>
      <c r="B22" s="29" t="s">
        <v>71</v>
      </c>
      <c r="C22" s="36" t="s">
        <v>72</v>
      </c>
      <c r="D22" s="30" t="s">
        <v>40</v>
      </c>
      <c r="E22" s="31">
        <v>0</v>
      </c>
      <c r="F22" s="31">
        <v>2</v>
      </c>
      <c r="G22" s="31">
        <v>0</v>
      </c>
      <c r="H22" s="31">
        <v>0</v>
      </c>
      <c r="I22" s="32">
        <v>0</v>
      </c>
      <c r="J22" s="32">
        <v>0</v>
      </c>
      <c r="K22" s="24">
        <v>0</v>
      </c>
      <c r="L22" s="31">
        <v>2</v>
      </c>
      <c r="M22" s="32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2">
        <v>0</v>
      </c>
      <c r="T22" s="31">
        <v>0</v>
      </c>
      <c r="U22" s="31">
        <v>0</v>
      </c>
      <c r="V22" s="31">
        <v>0</v>
      </c>
      <c r="W22" s="32">
        <v>0</v>
      </c>
      <c r="X22" s="31">
        <v>0</v>
      </c>
      <c r="Y22" s="32">
        <v>0</v>
      </c>
      <c r="Z22" s="33">
        <v>0</v>
      </c>
      <c r="AA22" s="3"/>
      <c r="AB22" s="26">
        <v>5</v>
      </c>
      <c r="AC22" s="26">
        <v>0</v>
      </c>
      <c r="AD22" s="26">
        <v>1</v>
      </c>
      <c r="AE22" s="26">
        <v>1</v>
      </c>
      <c r="AF22" s="26">
        <v>0</v>
      </c>
      <c r="AG22" s="26">
        <v>0</v>
      </c>
    </row>
    <row r="23" spans="1:33" ht="27.75" thickBot="1" x14ac:dyDescent="0.3">
      <c r="A23" s="28" t="s">
        <v>37</v>
      </c>
      <c r="B23" s="29" t="s">
        <v>73</v>
      </c>
      <c r="C23" s="30" t="s">
        <v>74</v>
      </c>
      <c r="D23" s="30" t="s">
        <v>40</v>
      </c>
      <c r="E23" s="31">
        <v>0</v>
      </c>
      <c r="F23" s="31">
        <v>2</v>
      </c>
      <c r="G23" s="31">
        <v>0</v>
      </c>
      <c r="H23" s="31">
        <v>0</v>
      </c>
      <c r="I23" s="32">
        <v>0</v>
      </c>
      <c r="J23" s="32">
        <v>0</v>
      </c>
      <c r="K23" s="24">
        <v>0</v>
      </c>
      <c r="L23" s="31">
        <v>0</v>
      </c>
      <c r="M23" s="32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2">
        <v>0</v>
      </c>
      <c r="T23" s="31">
        <v>0</v>
      </c>
      <c r="U23" s="31">
        <v>0</v>
      </c>
      <c r="V23" s="31">
        <v>0</v>
      </c>
      <c r="W23" s="32">
        <v>0</v>
      </c>
      <c r="X23" s="31">
        <v>0</v>
      </c>
      <c r="Y23" s="32">
        <v>0</v>
      </c>
      <c r="Z23" s="33">
        <v>0</v>
      </c>
      <c r="AA23" s="3"/>
      <c r="AB23" s="26">
        <v>13</v>
      </c>
      <c r="AC23" s="26">
        <v>0</v>
      </c>
      <c r="AD23" s="26">
        <v>1</v>
      </c>
      <c r="AE23" s="26">
        <v>1</v>
      </c>
      <c r="AF23" s="26">
        <v>1</v>
      </c>
      <c r="AG23" s="26">
        <v>2</v>
      </c>
    </row>
    <row r="24" spans="1:33" ht="27.75" thickBot="1" x14ac:dyDescent="0.3">
      <c r="A24" s="28" t="s">
        <v>37</v>
      </c>
      <c r="B24" s="29" t="s">
        <v>75</v>
      </c>
      <c r="C24" s="37" t="s">
        <v>76</v>
      </c>
      <c r="D24" s="30" t="s">
        <v>77</v>
      </c>
      <c r="E24" s="31">
        <v>0</v>
      </c>
      <c r="F24" s="31">
        <v>0</v>
      </c>
      <c r="G24" s="31">
        <v>0</v>
      </c>
      <c r="H24" s="31">
        <v>0</v>
      </c>
      <c r="I24" s="32">
        <v>0</v>
      </c>
      <c r="J24" s="32">
        <v>0</v>
      </c>
      <c r="K24" s="24">
        <v>0</v>
      </c>
      <c r="L24" s="31">
        <v>0</v>
      </c>
      <c r="M24" s="32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2">
        <v>0</v>
      </c>
      <c r="T24" s="31">
        <v>0</v>
      </c>
      <c r="U24" s="31">
        <v>0</v>
      </c>
      <c r="V24" s="31">
        <v>0</v>
      </c>
      <c r="W24" s="32">
        <v>0</v>
      </c>
      <c r="X24" s="31">
        <v>0</v>
      </c>
      <c r="Y24" s="32">
        <v>0</v>
      </c>
      <c r="Z24" s="33">
        <v>0</v>
      </c>
      <c r="AA24" s="3"/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</row>
    <row r="25" spans="1:33" ht="27.75" thickBot="1" x14ac:dyDescent="0.3">
      <c r="A25" s="28" t="s">
        <v>37</v>
      </c>
      <c r="B25" s="34" t="s">
        <v>78</v>
      </c>
      <c r="C25" s="37" t="s">
        <v>76</v>
      </c>
      <c r="D25" s="30" t="s">
        <v>77</v>
      </c>
      <c r="E25" s="31">
        <v>0</v>
      </c>
      <c r="F25" s="31">
        <v>3</v>
      </c>
      <c r="G25" s="31">
        <v>1</v>
      </c>
      <c r="H25" s="31">
        <v>0</v>
      </c>
      <c r="I25" s="32">
        <v>0</v>
      </c>
      <c r="J25" s="32">
        <v>0</v>
      </c>
      <c r="K25" s="24">
        <v>0</v>
      </c>
      <c r="L25" s="31">
        <v>0</v>
      </c>
      <c r="M25" s="32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2">
        <v>0</v>
      </c>
      <c r="T25" s="31">
        <v>0</v>
      </c>
      <c r="U25" s="31">
        <v>0</v>
      </c>
      <c r="V25" s="31">
        <v>0</v>
      </c>
      <c r="W25" s="32">
        <v>0</v>
      </c>
      <c r="X25" s="31">
        <v>0</v>
      </c>
      <c r="Y25" s="32">
        <v>0</v>
      </c>
      <c r="Z25" s="33">
        <v>0</v>
      </c>
      <c r="AA25" s="3"/>
      <c r="AB25" s="26">
        <v>25</v>
      </c>
      <c r="AC25" s="26">
        <v>0</v>
      </c>
      <c r="AD25" s="26">
        <v>2</v>
      </c>
      <c r="AE25" s="26">
        <v>2</v>
      </c>
      <c r="AF25" s="26">
        <v>1</v>
      </c>
      <c r="AG25" s="26">
        <v>2</v>
      </c>
    </row>
    <row r="26" spans="1:33" ht="41.25" thickBot="1" x14ac:dyDescent="0.3">
      <c r="A26" s="28" t="s">
        <v>37</v>
      </c>
      <c r="B26" s="34" t="s">
        <v>79</v>
      </c>
      <c r="C26" s="37" t="s">
        <v>80</v>
      </c>
      <c r="D26" s="30" t="s">
        <v>81</v>
      </c>
      <c r="E26" s="31">
        <v>0</v>
      </c>
      <c r="F26" s="31">
        <v>1</v>
      </c>
      <c r="G26" s="31">
        <v>0</v>
      </c>
      <c r="H26" s="31">
        <v>0</v>
      </c>
      <c r="I26" s="32">
        <v>0</v>
      </c>
      <c r="J26" s="32">
        <v>0</v>
      </c>
      <c r="K26" s="24">
        <v>0</v>
      </c>
      <c r="L26" s="31">
        <v>0</v>
      </c>
      <c r="M26" s="32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2">
        <v>0</v>
      </c>
      <c r="T26" s="31">
        <v>0</v>
      </c>
      <c r="U26" s="31">
        <v>0</v>
      </c>
      <c r="V26" s="31">
        <v>0</v>
      </c>
      <c r="W26" s="32">
        <v>0</v>
      </c>
      <c r="X26" s="31">
        <v>0</v>
      </c>
      <c r="Y26" s="32">
        <v>0</v>
      </c>
      <c r="Z26" s="33">
        <v>0</v>
      </c>
      <c r="AA26" s="3"/>
      <c r="AB26" s="26">
        <v>25</v>
      </c>
      <c r="AC26" s="26">
        <v>5</v>
      </c>
      <c r="AD26" s="26">
        <v>3</v>
      </c>
      <c r="AE26" s="26">
        <v>2</v>
      </c>
      <c r="AF26" s="26">
        <v>1</v>
      </c>
      <c r="AG26" s="26">
        <v>4</v>
      </c>
    </row>
    <row r="27" spans="1:33" ht="27.75" thickBot="1" x14ac:dyDescent="0.3">
      <c r="A27" s="28" t="s">
        <v>37</v>
      </c>
      <c r="B27" s="34" t="s">
        <v>82</v>
      </c>
      <c r="C27" s="37" t="s">
        <v>83</v>
      </c>
      <c r="D27" s="30" t="s">
        <v>40</v>
      </c>
      <c r="E27" s="31">
        <v>0</v>
      </c>
      <c r="F27" s="31">
        <v>1</v>
      </c>
      <c r="G27" s="31">
        <v>0</v>
      </c>
      <c r="H27" s="31">
        <v>0</v>
      </c>
      <c r="I27" s="32">
        <v>0</v>
      </c>
      <c r="J27" s="32">
        <v>0</v>
      </c>
      <c r="K27" s="24">
        <v>0</v>
      </c>
      <c r="L27" s="31">
        <v>0</v>
      </c>
      <c r="M27" s="32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2">
        <v>0</v>
      </c>
      <c r="T27" s="31">
        <v>0</v>
      </c>
      <c r="U27" s="31">
        <v>0</v>
      </c>
      <c r="V27" s="31">
        <v>0</v>
      </c>
      <c r="W27" s="32">
        <v>0</v>
      </c>
      <c r="X27" s="31">
        <v>0</v>
      </c>
      <c r="Y27" s="32">
        <v>0</v>
      </c>
      <c r="Z27" s="33">
        <v>0</v>
      </c>
      <c r="AA27" s="3"/>
      <c r="AB27" s="26">
        <f>42-7</f>
        <v>35</v>
      </c>
      <c r="AC27" s="26">
        <v>2</v>
      </c>
      <c r="AD27" s="26">
        <v>2</v>
      </c>
      <c r="AE27" s="26">
        <v>2</v>
      </c>
      <c r="AF27" s="26">
        <v>1</v>
      </c>
      <c r="AG27" s="26">
        <v>5</v>
      </c>
    </row>
    <row r="28" spans="1:33" ht="15.75" thickBot="1" x14ac:dyDescent="0.3">
      <c r="A28" s="28" t="s">
        <v>37</v>
      </c>
      <c r="B28" s="34" t="s">
        <v>82</v>
      </c>
      <c r="C28" s="37" t="s">
        <v>84</v>
      </c>
      <c r="D28" s="30" t="s">
        <v>40</v>
      </c>
      <c r="E28" s="31">
        <v>0</v>
      </c>
      <c r="F28" s="31">
        <v>3</v>
      </c>
      <c r="G28" s="31">
        <v>1</v>
      </c>
      <c r="H28" s="31">
        <v>0</v>
      </c>
      <c r="I28" s="32">
        <v>0</v>
      </c>
      <c r="J28" s="32">
        <v>0</v>
      </c>
      <c r="K28" s="24">
        <v>0</v>
      </c>
      <c r="L28" s="31">
        <v>0</v>
      </c>
      <c r="M28" s="32">
        <v>0</v>
      </c>
      <c r="N28" s="31">
        <v>0</v>
      </c>
      <c r="O28" s="31">
        <v>0</v>
      </c>
      <c r="P28" s="31">
        <v>0</v>
      </c>
      <c r="Q28" s="31">
        <v>1</v>
      </c>
      <c r="R28" s="31">
        <v>0</v>
      </c>
      <c r="S28" s="32">
        <v>0</v>
      </c>
      <c r="T28" s="31">
        <v>0</v>
      </c>
      <c r="U28" s="31">
        <v>0</v>
      </c>
      <c r="V28" s="31">
        <v>0</v>
      </c>
      <c r="W28" s="32">
        <v>0</v>
      </c>
      <c r="X28" s="31">
        <v>0</v>
      </c>
      <c r="Y28" s="32">
        <v>0</v>
      </c>
      <c r="Z28" s="33">
        <v>0</v>
      </c>
      <c r="AA28" s="3"/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</row>
    <row r="29" spans="1:33" ht="27.75" thickBot="1" x14ac:dyDescent="0.3">
      <c r="A29" s="28" t="s">
        <v>37</v>
      </c>
      <c r="B29" s="34" t="s">
        <v>85</v>
      </c>
      <c r="C29" s="37" t="s">
        <v>86</v>
      </c>
      <c r="D29" s="30" t="s">
        <v>40</v>
      </c>
      <c r="E29" s="31">
        <v>0</v>
      </c>
      <c r="F29" s="31">
        <v>4</v>
      </c>
      <c r="G29" s="31">
        <v>0</v>
      </c>
      <c r="H29" s="31">
        <v>0</v>
      </c>
      <c r="I29" s="32">
        <v>0</v>
      </c>
      <c r="J29" s="32">
        <v>0</v>
      </c>
      <c r="K29" s="24">
        <v>0</v>
      </c>
      <c r="L29" s="31">
        <v>0</v>
      </c>
      <c r="M29" s="32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2">
        <v>0</v>
      </c>
      <c r="T29" s="31">
        <v>0</v>
      </c>
      <c r="U29" s="31">
        <v>0</v>
      </c>
      <c r="V29" s="31">
        <v>0</v>
      </c>
      <c r="W29" s="32">
        <v>0</v>
      </c>
      <c r="X29" s="31">
        <v>0</v>
      </c>
      <c r="Y29" s="32">
        <v>0</v>
      </c>
      <c r="Z29" s="33">
        <v>0</v>
      </c>
      <c r="AA29" s="3"/>
      <c r="AB29" s="26">
        <v>21</v>
      </c>
      <c r="AC29" s="26">
        <v>4</v>
      </c>
      <c r="AD29" s="26">
        <v>1</v>
      </c>
      <c r="AE29" s="26">
        <v>0</v>
      </c>
      <c r="AF29" s="26">
        <v>1</v>
      </c>
      <c r="AG29" s="26">
        <v>2</v>
      </c>
    </row>
    <row r="30" spans="1:33" ht="95.25" thickBot="1" x14ac:dyDescent="0.3">
      <c r="A30" s="28" t="s">
        <v>37</v>
      </c>
      <c r="B30" s="34" t="s">
        <v>87</v>
      </c>
      <c r="C30" s="37" t="s">
        <v>88</v>
      </c>
      <c r="D30" s="30" t="s">
        <v>89</v>
      </c>
      <c r="E30" s="31">
        <v>1</v>
      </c>
      <c r="F30" s="31">
        <v>1</v>
      </c>
      <c r="G30" s="31">
        <v>0</v>
      </c>
      <c r="H30" s="31">
        <v>0</v>
      </c>
      <c r="I30" s="32">
        <v>0</v>
      </c>
      <c r="J30" s="32">
        <v>0</v>
      </c>
      <c r="K30" s="24">
        <v>0</v>
      </c>
      <c r="L30" s="31">
        <v>0</v>
      </c>
      <c r="M30" s="32">
        <v>0</v>
      </c>
      <c r="N30" s="31">
        <v>0</v>
      </c>
      <c r="O30" s="31">
        <v>0</v>
      </c>
      <c r="P30" s="31">
        <v>0</v>
      </c>
      <c r="Q30" s="31">
        <v>0</v>
      </c>
      <c r="R30" s="31">
        <v>1</v>
      </c>
      <c r="S30" s="32">
        <v>0</v>
      </c>
      <c r="T30" s="31">
        <v>0</v>
      </c>
      <c r="U30" s="31">
        <v>0</v>
      </c>
      <c r="V30" s="31">
        <v>0</v>
      </c>
      <c r="W30" s="32">
        <v>0</v>
      </c>
      <c r="X30" s="31">
        <v>0</v>
      </c>
      <c r="Y30" s="32">
        <v>0</v>
      </c>
      <c r="Z30" s="33">
        <v>0</v>
      </c>
      <c r="AA30" s="3"/>
      <c r="AB30" s="26">
        <v>16</v>
      </c>
      <c r="AC30" s="26"/>
      <c r="AD30" s="26">
        <v>1</v>
      </c>
      <c r="AE30" s="26">
        <v>1</v>
      </c>
      <c r="AF30" s="26"/>
      <c r="AG30" s="26">
        <v>1</v>
      </c>
    </row>
    <row r="31" spans="1:33" ht="95.25" thickBot="1" x14ac:dyDescent="0.3">
      <c r="A31" s="28" t="s">
        <v>37</v>
      </c>
      <c r="B31" s="34" t="s">
        <v>90</v>
      </c>
      <c r="C31" s="37" t="s">
        <v>88</v>
      </c>
      <c r="D31" s="30" t="s">
        <v>91</v>
      </c>
      <c r="E31" s="31">
        <v>0</v>
      </c>
      <c r="F31" s="31">
        <v>3</v>
      </c>
      <c r="G31" s="31">
        <v>0</v>
      </c>
      <c r="H31" s="31">
        <v>0</v>
      </c>
      <c r="I31" s="32">
        <v>0</v>
      </c>
      <c r="J31" s="32">
        <v>0</v>
      </c>
      <c r="K31" s="24">
        <v>0</v>
      </c>
      <c r="L31" s="31">
        <v>0</v>
      </c>
      <c r="M31" s="32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2">
        <v>0</v>
      </c>
      <c r="T31" s="31">
        <v>0</v>
      </c>
      <c r="U31" s="31">
        <v>0</v>
      </c>
      <c r="V31" s="31">
        <v>0</v>
      </c>
      <c r="W31" s="32">
        <v>0</v>
      </c>
      <c r="X31" s="31">
        <v>0</v>
      </c>
      <c r="Y31" s="32">
        <v>0</v>
      </c>
      <c r="Z31" s="33">
        <v>0</v>
      </c>
      <c r="AA31" s="38">
        <f>AA36*7.5</f>
        <v>10844449485.71011</v>
      </c>
      <c r="AB31" s="26">
        <v>16</v>
      </c>
      <c r="AC31" s="26"/>
      <c r="AD31" s="26">
        <v>1</v>
      </c>
      <c r="AE31" s="26">
        <v>1</v>
      </c>
      <c r="AF31" s="26"/>
      <c r="AG31" s="26">
        <v>1</v>
      </c>
    </row>
    <row r="32" spans="1:33" ht="27.75" thickBot="1" x14ac:dyDescent="0.3">
      <c r="A32" s="28" t="s">
        <v>37</v>
      </c>
      <c r="B32" s="34" t="s">
        <v>92</v>
      </c>
      <c r="C32" s="37" t="s">
        <v>93</v>
      </c>
      <c r="D32" s="30" t="s">
        <v>40</v>
      </c>
      <c r="E32" s="31">
        <v>0</v>
      </c>
      <c r="F32" s="31">
        <v>2</v>
      </c>
      <c r="G32" s="31">
        <v>0</v>
      </c>
      <c r="H32" s="31">
        <v>0</v>
      </c>
      <c r="I32" s="32">
        <v>0</v>
      </c>
      <c r="J32" s="32">
        <v>0</v>
      </c>
      <c r="K32" s="24">
        <v>0</v>
      </c>
      <c r="L32" s="31">
        <v>0</v>
      </c>
      <c r="M32" s="32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1">
        <v>0</v>
      </c>
      <c r="U32" s="31">
        <v>0</v>
      </c>
      <c r="V32" s="31">
        <v>0</v>
      </c>
      <c r="W32" s="32">
        <v>0</v>
      </c>
      <c r="X32" s="31">
        <v>0</v>
      </c>
      <c r="Y32" s="32">
        <v>0</v>
      </c>
      <c r="Z32" s="33">
        <v>0</v>
      </c>
      <c r="AA32" s="3"/>
      <c r="AB32" s="26">
        <v>6</v>
      </c>
      <c r="AC32" s="26">
        <v>0</v>
      </c>
      <c r="AD32" s="26">
        <v>1</v>
      </c>
      <c r="AE32" s="26">
        <v>1</v>
      </c>
      <c r="AF32" s="26">
        <v>0</v>
      </c>
      <c r="AG32" s="26">
        <v>1</v>
      </c>
    </row>
    <row r="33" spans="1:33" ht="15.75" thickBot="1" x14ac:dyDescent="0.3">
      <c r="A33" s="202" t="s">
        <v>94</v>
      </c>
      <c r="B33" s="203"/>
      <c r="C33" s="203"/>
      <c r="D33" s="204"/>
      <c r="E33" s="39">
        <f t="shared" ref="E33:AG33" si="5">SUM(E7:E32)</f>
        <v>3</v>
      </c>
      <c r="F33" s="40">
        <f t="shared" si="5"/>
        <v>60</v>
      </c>
      <c r="G33" s="40">
        <f t="shared" si="5"/>
        <v>3</v>
      </c>
      <c r="H33" s="40">
        <f t="shared" si="5"/>
        <v>0</v>
      </c>
      <c r="I33" s="41">
        <f t="shared" si="5"/>
        <v>0</v>
      </c>
      <c r="J33" s="41">
        <f t="shared" si="5"/>
        <v>0</v>
      </c>
      <c r="K33" s="41"/>
      <c r="L33" s="40">
        <f t="shared" si="5"/>
        <v>4</v>
      </c>
      <c r="M33" s="41">
        <f t="shared" si="5"/>
        <v>0</v>
      </c>
      <c r="N33" s="40">
        <f t="shared" si="5"/>
        <v>2</v>
      </c>
      <c r="O33" s="40">
        <f t="shared" si="5"/>
        <v>0</v>
      </c>
      <c r="P33" s="40">
        <f t="shared" si="5"/>
        <v>0</v>
      </c>
      <c r="Q33" s="40">
        <f t="shared" si="5"/>
        <v>7</v>
      </c>
      <c r="R33" s="40">
        <f t="shared" si="5"/>
        <v>2</v>
      </c>
      <c r="S33" s="41">
        <f t="shared" si="5"/>
        <v>0</v>
      </c>
      <c r="T33" s="40">
        <f t="shared" si="5"/>
        <v>0</v>
      </c>
      <c r="U33" s="40">
        <f t="shared" si="5"/>
        <v>0</v>
      </c>
      <c r="V33" s="40">
        <f t="shared" si="5"/>
        <v>1</v>
      </c>
      <c r="W33" s="41">
        <f t="shared" si="5"/>
        <v>0</v>
      </c>
      <c r="X33" s="40">
        <f t="shared" si="5"/>
        <v>0</v>
      </c>
      <c r="Y33" s="41">
        <f t="shared" si="5"/>
        <v>0</v>
      </c>
      <c r="Z33" s="42">
        <f t="shared" si="5"/>
        <v>0</v>
      </c>
      <c r="AA33" s="43">
        <f>SUM(E33:Z33)</f>
        <v>82</v>
      </c>
      <c r="AB33" s="44">
        <f t="shared" si="5"/>
        <v>390</v>
      </c>
      <c r="AC33" s="44">
        <f t="shared" si="5"/>
        <v>23</v>
      </c>
      <c r="AD33" s="44">
        <f t="shared" si="5"/>
        <v>32</v>
      </c>
      <c r="AE33" s="44">
        <f t="shared" si="5"/>
        <v>29</v>
      </c>
      <c r="AF33" s="44">
        <f t="shared" si="5"/>
        <v>12</v>
      </c>
      <c r="AG33" s="44">
        <f t="shared" si="5"/>
        <v>38</v>
      </c>
    </row>
    <row r="34" spans="1:33" ht="15.75" thickBot="1" x14ac:dyDescent="0.3">
      <c r="A34" s="45"/>
      <c r="B34" s="46"/>
      <c r="C34" s="46"/>
      <c r="D34" s="46"/>
      <c r="E34" s="47"/>
      <c r="F34" s="47"/>
      <c r="G34" s="47"/>
      <c r="H34" s="47"/>
      <c r="I34" s="48"/>
      <c r="J34" s="48"/>
      <c r="K34" s="48"/>
      <c r="L34" s="47"/>
      <c r="M34" s="48"/>
      <c r="N34" s="47"/>
      <c r="O34" s="47"/>
      <c r="P34" s="47"/>
      <c r="Q34" s="47"/>
      <c r="R34" s="47"/>
      <c r="S34" s="48"/>
      <c r="T34" s="47"/>
      <c r="U34" s="47"/>
      <c r="V34" s="47"/>
      <c r="W34" s="48"/>
      <c r="X34" s="47"/>
      <c r="Y34" s="48"/>
      <c r="Z34" s="49"/>
      <c r="AA34" s="50">
        <f>SUM(E34:Z34)</f>
        <v>0</v>
      </c>
      <c r="AB34" s="51"/>
      <c r="AC34" s="51"/>
      <c r="AD34" s="51"/>
      <c r="AE34" s="51"/>
      <c r="AF34" s="51"/>
      <c r="AG34" s="51"/>
    </row>
    <row r="35" spans="1:33" ht="15.75" thickBot="1" x14ac:dyDescent="0.3">
      <c r="A35" s="45"/>
      <c r="B35" s="199" t="s">
        <v>95</v>
      </c>
      <c r="C35" s="199"/>
      <c r="D35" s="46"/>
      <c r="E35" s="47"/>
      <c r="F35" s="47"/>
      <c r="G35" s="47"/>
      <c r="H35" s="47"/>
      <c r="I35" s="48"/>
      <c r="J35" s="48"/>
      <c r="K35" s="48"/>
      <c r="L35" s="47"/>
      <c r="M35" s="48"/>
      <c r="N35" s="47"/>
      <c r="O35" s="47"/>
      <c r="P35" s="47"/>
      <c r="Q35" s="47"/>
      <c r="R35" s="47"/>
      <c r="S35" s="48"/>
      <c r="T35" s="47"/>
      <c r="U35" s="47"/>
      <c r="V35" s="47"/>
      <c r="W35" s="48"/>
      <c r="X35" s="47"/>
      <c r="Y35" s="48"/>
      <c r="Z35" s="49"/>
      <c r="AA35" s="53">
        <f>SUM(E35:Z35)</f>
        <v>0</v>
      </c>
      <c r="AB35" s="51"/>
      <c r="AC35" s="51"/>
      <c r="AD35" s="51"/>
      <c r="AE35" s="51"/>
      <c r="AF35" s="51"/>
      <c r="AG35" s="51"/>
    </row>
    <row r="36" spans="1:33" s="59" customFormat="1" ht="15.75" thickBot="1" x14ac:dyDescent="0.3">
      <c r="A36" s="205" t="s">
        <v>96</v>
      </c>
      <c r="B36" s="206"/>
      <c r="C36" s="206"/>
      <c r="D36" s="206"/>
      <c r="E36" s="54">
        <f t="shared" ref="E36:J36" si="6">E33*E5</f>
        <v>60123697.461135</v>
      </c>
      <c r="F36" s="54">
        <f t="shared" si="6"/>
        <v>1180610786.5095601</v>
      </c>
      <c r="G36" s="54">
        <f t="shared" si="6"/>
        <v>59030539.325478002</v>
      </c>
      <c r="H36" s="54">
        <f t="shared" si="6"/>
        <v>0</v>
      </c>
      <c r="I36" s="55">
        <f t="shared" si="6"/>
        <v>0</v>
      </c>
      <c r="J36" s="55">
        <f t="shared" si="6"/>
        <v>0</v>
      </c>
      <c r="K36" s="55"/>
      <c r="L36" s="54">
        <f>L33*L5</f>
        <v>48706992.399562888</v>
      </c>
      <c r="M36" s="55">
        <f>M33*M5</f>
        <v>0</v>
      </c>
      <c r="N36" s="54">
        <f t="shared" ref="N36:Z36" si="7">N33*N5</f>
        <v>19482796.959825154</v>
      </c>
      <c r="O36" s="54">
        <f t="shared" si="7"/>
        <v>0</v>
      </c>
      <c r="P36" s="54">
        <f t="shared" si="7"/>
        <v>0</v>
      </c>
      <c r="Q36" s="54">
        <f t="shared" si="7"/>
        <v>48405768.776606739</v>
      </c>
      <c r="R36" s="54">
        <f t="shared" si="7"/>
        <v>22065918.320578169</v>
      </c>
      <c r="S36" s="55">
        <f t="shared" si="7"/>
        <v>0</v>
      </c>
      <c r="T36" s="54">
        <f t="shared" si="7"/>
        <v>0</v>
      </c>
      <c r="U36" s="54">
        <f t="shared" si="7"/>
        <v>0</v>
      </c>
      <c r="V36" s="54">
        <f t="shared" si="7"/>
        <v>7500098.3419352779</v>
      </c>
      <c r="W36" s="55">
        <f t="shared" si="7"/>
        <v>0</v>
      </c>
      <c r="X36" s="54">
        <f t="shared" si="7"/>
        <v>0</v>
      </c>
      <c r="Y36" s="55">
        <f t="shared" si="7"/>
        <v>0</v>
      </c>
      <c r="Z36" s="56">
        <f t="shared" si="7"/>
        <v>0</v>
      </c>
      <c r="AA36" s="57">
        <f>SUM(E36:Z36)</f>
        <v>1445926598.0946813</v>
      </c>
      <c r="AB36" s="58">
        <f t="shared" ref="AB36:AG36" si="8">AB33*AB5</f>
        <v>11780559.700000001</v>
      </c>
      <c r="AC36" s="58">
        <f t="shared" si="8"/>
        <v>2700479.2966666669</v>
      </c>
      <c r="AD36" s="58">
        <f t="shared" si="8"/>
        <v>4813083.5199999996</v>
      </c>
      <c r="AE36" s="58">
        <f t="shared" si="8"/>
        <v>3167212.7666666666</v>
      </c>
      <c r="AF36" s="58">
        <f t="shared" si="8"/>
        <v>4132736.7199999997</v>
      </c>
      <c r="AG36" s="58">
        <f t="shared" si="8"/>
        <v>4403885.3600000003</v>
      </c>
    </row>
    <row r="37" spans="1:33" ht="15.75" thickBot="1" x14ac:dyDescent="0.3">
      <c r="A37" s="20" t="s">
        <v>97</v>
      </c>
      <c r="B37" s="21" t="s">
        <v>98</v>
      </c>
      <c r="C37" s="22" t="s">
        <v>99</v>
      </c>
      <c r="D37" s="22" t="s">
        <v>100</v>
      </c>
      <c r="E37" s="23">
        <v>0</v>
      </c>
      <c r="F37" s="23">
        <v>1</v>
      </c>
      <c r="G37" s="23">
        <v>0</v>
      </c>
      <c r="H37" s="23">
        <v>0</v>
      </c>
      <c r="I37" s="24">
        <v>0</v>
      </c>
      <c r="J37" s="24">
        <v>0</v>
      </c>
      <c r="K37" s="24">
        <v>0</v>
      </c>
      <c r="L37" s="23">
        <v>0</v>
      </c>
      <c r="M37" s="24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4">
        <v>0</v>
      </c>
      <c r="T37" s="23">
        <v>0</v>
      </c>
      <c r="U37" s="23">
        <v>0</v>
      </c>
      <c r="V37" s="23">
        <v>0</v>
      </c>
      <c r="W37" s="24">
        <v>0</v>
      </c>
      <c r="X37" s="23">
        <v>0</v>
      </c>
      <c r="Y37" s="24">
        <v>0</v>
      </c>
      <c r="Z37" s="25">
        <v>0</v>
      </c>
      <c r="AA37" s="38"/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</row>
    <row r="38" spans="1:33" ht="25.5" customHeight="1" thickBot="1" x14ac:dyDescent="0.3">
      <c r="A38" s="28" t="s">
        <v>97</v>
      </c>
      <c r="B38" s="29" t="s">
        <v>101</v>
      </c>
      <c r="C38" s="30" t="s">
        <v>99</v>
      </c>
      <c r="D38" s="30" t="s">
        <v>100</v>
      </c>
      <c r="E38" s="31">
        <v>0</v>
      </c>
      <c r="F38" s="31">
        <v>4</v>
      </c>
      <c r="G38" s="31">
        <v>1</v>
      </c>
      <c r="H38" s="31">
        <v>0</v>
      </c>
      <c r="I38" s="32">
        <v>0</v>
      </c>
      <c r="J38" s="32">
        <v>0</v>
      </c>
      <c r="K38" s="24">
        <v>0</v>
      </c>
      <c r="L38" s="31">
        <v>0</v>
      </c>
      <c r="M38" s="32">
        <v>0</v>
      </c>
      <c r="N38" s="31">
        <v>1</v>
      </c>
      <c r="O38" s="31">
        <v>0</v>
      </c>
      <c r="P38" s="31">
        <v>0</v>
      </c>
      <c r="Q38" s="31">
        <v>0</v>
      </c>
      <c r="R38" s="31">
        <v>0</v>
      </c>
      <c r="S38" s="32">
        <v>0</v>
      </c>
      <c r="T38" s="31">
        <v>0</v>
      </c>
      <c r="U38" s="31">
        <v>0</v>
      </c>
      <c r="V38" s="31">
        <v>0</v>
      </c>
      <c r="W38" s="32">
        <v>0</v>
      </c>
      <c r="X38" s="31">
        <v>0</v>
      </c>
      <c r="Y38" s="32">
        <v>0</v>
      </c>
      <c r="Z38" s="33">
        <v>0</v>
      </c>
      <c r="AA38" s="3"/>
      <c r="AB38" s="26">
        <v>60</v>
      </c>
      <c r="AC38" s="26">
        <v>6</v>
      </c>
      <c r="AD38" s="26">
        <v>2</v>
      </c>
      <c r="AE38" s="26">
        <v>2</v>
      </c>
      <c r="AF38" s="26">
        <v>1</v>
      </c>
      <c r="AG38" s="26">
        <v>5</v>
      </c>
    </row>
    <row r="39" spans="1:33" ht="25.5" customHeight="1" thickBot="1" x14ac:dyDescent="0.3">
      <c r="A39" s="28" t="s">
        <v>97</v>
      </c>
      <c r="B39" s="29" t="s">
        <v>101</v>
      </c>
      <c r="C39" s="30" t="s">
        <v>99</v>
      </c>
      <c r="D39" s="30" t="s">
        <v>100</v>
      </c>
      <c r="E39" s="31">
        <v>0</v>
      </c>
      <c r="F39" s="31">
        <v>2</v>
      </c>
      <c r="G39" s="31">
        <v>0</v>
      </c>
      <c r="H39" s="31">
        <v>0</v>
      </c>
      <c r="I39" s="32">
        <v>0</v>
      </c>
      <c r="J39" s="32">
        <v>0</v>
      </c>
      <c r="K39" s="24">
        <v>0</v>
      </c>
      <c r="L39" s="31">
        <v>0</v>
      </c>
      <c r="M39" s="32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2">
        <v>0</v>
      </c>
      <c r="T39" s="31">
        <v>0</v>
      </c>
      <c r="U39" s="31">
        <v>0</v>
      </c>
      <c r="V39" s="31">
        <v>0</v>
      </c>
      <c r="W39" s="32">
        <v>0</v>
      </c>
      <c r="X39" s="31">
        <v>0</v>
      </c>
      <c r="Y39" s="32">
        <v>0</v>
      </c>
      <c r="Z39" s="33">
        <v>0</v>
      </c>
      <c r="AA39" s="3"/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</row>
    <row r="40" spans="1:33" ht="40.5" customHeight="1" thickBot="1" x14ac:dyDescent="0.3">
      <c r="A40" s="28" t="s">
        <v>97</v>
      </c>
      <c r="B40" s="29" t="s">
        <v>102</v>
      </c>
      <c r="C40" s="30" t="s">
        <v>103</v>
      </c>
      <c r="D40" s="30" t="s">
        <v>104</v>
      </c>
      <c r="E40" s="31">
        <v>0</v>
      </c>
      <c r="F40" s="31">
        <v>1</v>
      </c>
      <c r="G40" s="31">
        <v>0</v>
      </c>
      <c r="H40" s="31">
        <v>0</v>
      </c>
      <c r="I40" s="32">
        <v>0</v>
      </c>
      <c r="J40" s="32">
        <v>0</v>
      </c>
      <c r="K40" s="24">
        <v>0</v>
      </c>
      <c r="L40" s="31">
        <v>0</v>
      </c>
      <c r="M40" s="32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2">
        <v>0</v>
      </c>
      <c r="T40" s="31">
        <v>0</v>
      </c>
      <c r="U40" s="31">
        <v>0</v>
      </c>
      <c r="V40" s="31">
        <v>0</v>
      </c>
      <c r="W40" s="32">
        <v>0</v>
      </c>
      <c r="X40" s="31">
        <v>0</v>
      </c>
      <c r="Y40" s="32">
        <v>0</v>
      </c>
      <c r="Z40" s="33">
        <v>0</v>
      </c>
      <c r="AA40" s="3"/>
      <c r="AB40" s="26">
        <v>6</v>
      </c>
      <c r="AC40" s="26">
        <v>0</v>
      </c>
      <c r="AD40" s="26">
        <v>1</v>
      </c>
      <c r="AE40" s="26">
        <v>1</v>
      </c>
      <c r="AF40" s="26">
        <v>0</v>
      </c>
      <c r="AG40" s="26">
        <v>0</v>
      </c>
    </row>
    <row r="41" spans="1:33" ht="27.75" thickBot="1" x14ac:dyDescent="0.3">
      <c r="A41" s="28" t="s">
        <v>97</v>
      </c>
      <c r="B41" s="29" t="s">
        <v>105</v>
      </c>
      <c r="C41" s="30" t="s">
        <v>106</v>
      </c>
      <c r="D41" s="30" t="s">
        <v>107</v>
      </c>
      <c r="E41" s="31">
        <v>0</v>
      </c>
      <c r="F41" s="31">
        <v>1</v>
      </c>
      <c r="G41" s="31">
        <v>0</v>
      </c>
      <c r="H41" s="31">
        <v>0</v>
      </c>
      <c r="I41" s="32">
        <v>0</v>
      </c>
      <c r="J41" s="32">
        <v>0</v>
      </c>
      <c r="K41" s="24">
        <v>0</v>
      </c>
      <c r="L41" s="31">
        <v>0</v>
      </c>
      <c r="M41" s="32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2">
        <v>0</v>
      </c>
      <c r="T41" s="31">
        <v>0</v>
      </c>
      <c r="U41" s="31">
        <v>0</v>
      </c>
      <c r="V41" s="31">
        <v>0</v>
      </c>
      <c r="W41" s="32">
        <v>0</v>
      </c>
      <c r="X41" s="31">
        <v>0</v>
      </c>
      <c r="Y41" s="32">
        <v>0</v>
      </c>
      <c r="Z41" s="33">
        <v>0</v>
      </c>
      <c r="AA41" s="3"/>
      <c r="AB41" s="61">
        <v>11</v>
      </c>
      <c r="AC41" s="61">
        <v>1</v>
      </c>
      <c r="AD41" s="61">
        <v>1</v>
      </c>
      <c r="AE41" s="61">
        <v>1</v>
      </c>
      <c r="AF41" s="61">
        <v>0</v>
      </c>
      <c r="AG41" s="61">
        <v>2</v>
      </c>
    </row>
    <row r="42" spans="1:33" ht="27.75" thickBot="1" x14ac:dyDescent="0.3">
      <c r="A42" s="28" t="s">
        <v>97</v>
      </c>
      <c r="B42" s="29" t="s">
        <v>108</v>
      </c>
      <c r="C42" s="30" t="s">
        <v>109</v>
      </c>
      <c r="D42" s="30" t="s">
        <v>110</v>
      </c>
      <c r="E42" s="31">
        <v>0</v>
      </c>
      <c r="F42" s="31">
        <v>1</v>
      </c>
      <c r="G42" s="31">
        <v>0</v>
      </c>
      <c r="H42" s="31">
        <v>0</v>
      </c>
      <c r="I42" s="32">
        <v>0</v>
      </c>
      <c r="J42" s="32">
        <v>0</v>
      </c>
      <c r="K42" s="24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2">
        <v>0</v>
      </c>
      <c r="T42" s="31">
        <v>0</v>
      </c>
      <c r="U42" s="31">
        <v>0</v>
      </c>
      <c r="V42" s="31">
        <v>0</v>
      </c>
      <c r="W42" s="32">
        <v>0</v>
      </c>
      <c r="X42" s="31">
        <v>0</v>
      </c>
      <c r="Y42" s="32">
        <v>0</v>
      </c>
      <c r="Z42" s="33">
        <v>0</v>
      </c>
      <c r="AA42" s="3"/>
      <c r="AB42" s="26">
        <v>11</v>
      </c>
      <c r="AC42" s="26">
        <v>1</v>
      </c>
      <c r="AD42" s="26">
        <v>1</v>
      </c>
      <c r="AE42" s="26">
        <v>1</v>
      </c>
      <c r="AF42" s="26">
        <v>1</v>
      </c>
      <c r="AG42" s="26">
        <v>0</v>
      </c>
    </row>
    <row r="43" spans="1:33" ht="15.75" thickBot="1" x14ac:dyDescent="0.3">
      <c r="A43" s="28" t="s">
        <v>97</v>
      </c>
      <c r="B43" s="29" t="s">
        <v>111</v>
      </c>
      <c r="C43" s="30" t="s">
        <v>112</v>
      </c>
      <c r="D43" s="30" t="s">
        <v>104</v>
      </c>
      <c r="E43" s="31">
        <v>0</v>
      </c>
      <c r="F43" s="31">
        <v>4</v>
      </c>
      <c r="G43" s="31">
        <v>1</v>
      </c>
      <c r="H43" s="31">
        <v>0</v>
      </c>
      <c r="I43" s="32">
        <v>0</v>
      </c>
      <c r="J43" s="32">
        <v>0</v>
      </c>
      <c r="K43" s="24">
        <v>0</v>
      </c>
      <c r="L43" s="31">
        <v>0</v>
      </c>
      <c r="M43" s="32">
        <v>0</v>
      </c>
      <c r="N43" s="31">
        <v>1</v>
      </c>
      <c r="O43" s="31">
        <v>0</v>
      </c>
      <c r="P43" s="31">
        <v>0</v>
      </c>
      <c r="Q43" s="31">
        <v>0</v>
      </c>
      <c r="R43" s="31">
        <v>0</v>
      </c>
      <c r="S43" s="32">
        <v>0</v>
      </c>
      <c r="T43" s="31">
        <v>0</v>
      </c>
      <c r="U43" s="31">
        <v>0</v>
      </c>
      <c r="V43" s="31">
        <v>0</v>
      </c>
      <c r="W43" s="32">
        <v>0</v>
      </c>
      <c r="X43" s="31">
        <v>0</v>
      </c>
      <c r="Y43" s="32">
        <v>0</v>
      </c>
      <c r="Z43" s="33">
        <v>0</v>
      </c>
      <c r="AA43" s="3"/>
      <c r="AB43" s="26">
        <f>23-13</f>
        <v>10</v>
      </c>
      <c r="AC43" s="26">
        <f>2-1</f>
        <v>1</v>
      </c>
      <c r="AD43" s="26">
        <v>1</v>
      </c>
      <c r="AE43" s="26">
        <v>1</v>
      </c>
      <c r="AF43" s="26">
        <v>1</v>
      </c>
      <c r="AG43" s="26">
        <f>5-1</f>
        <v>4</v>
      </c>
    </row>
    <row r="44" spans="1:33" ht="15.75" thickBot="1" x14ac:dyDescent="0.3">
      <c r="A44" s="28" t="s">
        <v>97</v>
      </c>
      <c r="B44" s="29" t="s">
        <v>113</v>
      </c>
      <c r="C44" s="30" t="s">
        <v>114</v>
      </c>
      <c r="D44" s="30" t="s">
        <v>104</v>
      </c>
      <c r="E44" s="31">
        <v>0</v>
      </c>
      <c r="F44" s="31">
        <v>3</v>
      </c>
      <c r="G44" s="31">
        <v>1</v>
      </c>
      <c r="H44" s="31">
        <v>0</v>
      </c>
      <c r="I44" s="32">
        <v>0</v>
      </c>
      <c r="J44" s="32">
        <v>0</v>
      </c>
      <c r="K44" s="24">
        <v>0</v>
      </c>
      <c r="L44" s="31">
        <v>0</v>
      </c>
      <c r="M44" s="32">
        <v>0</v>
      </c>
      <c r="N44" s="31">
        <v>1</v>
      </c>
      <c r="O44" s="31">
        <v>0</v>
      </c>
      <c r="P44" s="31">
        <v>0</v>
      </c>
      <c r="Q44" s="31">
        <v>0</v>
      </c>
      <c r="R44" s="31">
        <v>1</v>
      </c>
      <c r="S44" s="32">
        <v>0</v>
      </c>
      <c r="T44" s="31">
        <v>0</v>
      </c>
      <c r="U44" s="31">
        <v>0</v>
      </c>
      <c r="V44" s="31">
        <v>0</v>
      </c>
      <c r="W44" s="32">
        <v>0</v>
      </c>
      <c r="X44" s="31">
        <v>0</v>
      </c>
      <c r="Y44" s="32">
        <v>0</v>
      </c>
      <c r="Z44" s="33">
        <v>0</v>
      </c>
      <c r="AA44" s="3"/>
      <c r="AB44" s="26">
        <f>28</f>
        <v>28</v>
      </c>
      <c r="AC44" s="26">
        <v>4</v>
      </c>
      <c r="AD44" s="26">
        <v>1</v>
      </c>
      <c r="AE44" s="26">
        <v>1</v>
      </c>
      <c r="AF44" s="26">
        <v>1</v>
      </c>
      <c r="AG44" s="26">
        <v>5</v>
      </c>
    </row>
    <row r="45" spans="1:33" ht="27.75" thickBot="1" x14ac:dyDescent="0.3">
      <c r="A45" s="28" t="s">
        <v>97</v>
      </c>
      <c r="B45" s="29" t="s">
        <v>115</v>
      </c>
      <c r="C45" s="30" t="s">
        <v>116</v>
      </c>
      <c r="D45" s="30" t="s">
        <v>104</v>
      </c>
      <c r="E45" s="31">
        <v>0</v>
      </c>
      <c r="F45" s="31">
        <v>1</v>
      </c>
      <c r="G45" s="31">
        <v>0</v>
      </c>
      <c r="H45" s="31">
        <v>0</v>
      </c>
      <c r="I45" s="32">
        <v>0</v>
      </c>
      <c r="J45" s="32">
        <v>0</v>
      </c>
      <c r="K45" s="24">
        <v>0</v>
      </c>
      <c r="L45" s="31">
        <v>0</v>
      </c>
      <c r="M45" s="32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2">
        <v>0</v>
      </c>
      <c r="T45" s="31">
        <v>0</v>
      </c>
      <c r="U45" s="31">
        <v>0</v>
      </c>
      <c r="V45" s="31">
        <v>0</v>
      </c>
      <c r="W45" s="32">
        <v>0</v>
      </c>
      <c r="X45" s="31">
        <v>0</v>
      </c>
      <c r="Y45" s="32">
        <v>0</v>
      </c>
      <c r="Z45" s="33">
        <v>0</v>
      </c>
      <c r="AA45" s="3"/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</row>
    <row r="46" spans="1:33" ht="15.75" thickBot="1" x14ac:dyDescent="0.3">
      <c r="A46" s="28" t="s">
        <v>97</v>
      </c>
      <c r="B46" s="29" t="s">
        <v>117</v>
      </c>
      <c r="C46" s="30" t="s">
        <v>118</v>
      </c>
      <c r="D46" s="30" t="s">
        <v>104</v>
      </c>
      <c r="E46" s="31">
        <v>0</v>
      </c>
      <c r="F46" s="31">
        <v>0</v>
      </c>
      <c r="G46" s="31">
        <v>0</v>
      </c>
      <c r="H46" s="31">
        <v>0</v>
      </c>
      <c r="I46" s="32">
        <v>0</v>
      </c>
      <c r="J46" s="32">
        <v>0</v>
      </c>
      <c r="K46" s="24">
        <v>0</v>
      </c>
      <c r="L46" s="31">
        <v>0</v>
      </c>
      <c r="M46" s="32">
        <v>0</v>
      </c>
      <c r="N46" s="31">
        <v>0</v>
      </c>
      <c r="O46" s="31">
        <v>1</v>
      </c>
      <c r="P46" s="31">
        <v>0</v>
      </c>
      <c r="Q46" s="31">
        <v>0</v>
      </c>
      <c r="R46" s="31">
        <v>0</v>
      </c>
      <c r="S46" s="32">
        <v>0</v>
      </c>
      <c r="T46" s="31">
        <v>1</v>
      </c>
      <c r="U46" s="31">
        <v>0</v>
      </c>
      <c r="V46" s="31">
        <v>0</v>
      </c>
      <c r="W46" s="32">
        <v>0</v>
      </c>
      <c r="X46" s="31">
        <v>0</v>
      </c>
      <c r="Y46" s="32">
        <v>0</v>
      </c>
      <c r="Z46" s="33">
        <v>0</v>
      </c>
      <c r="AA46" s="38">
        <f>AA51*7.5</f>
        <v>3846825729.9067392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</row>
    <row r="47" spans="1:33" ht="27.75" thickBot="1" x14ac:dyDescent="0.3">
      <c r="A47" s="62" t="s">
        <v>97</v>
      </c>
      <c r="B47" s="63" t="s">
        <v>119</v>
      </c>
      <c r="C47" s="64" t="s">
        <v>120</v>
      </c>
      <c r="D47" s="64" t="s">
        <v>104</v>
      </c>
      <c r="E47" s="65">
        <v>0</v>
      </c>
      <c r="F47" s="65">
        <v>1</v>
      </c>
      <c r="G47" s="65">
        <v>0</v>
      </c>
      <c r="H47" s="65">
        <v>0</v>
      </c>
      <c r="I47" s="66">
        <v>0</v>
      </c>
      <c r="J47" s="66">
        <v>0</v>
      </c>
      <c r="K47" s="24">
        <v>0</v>
      </c>
      <c r="L47" s="65">
        <v>0</v>
      </c>
      <c r="M47" s="66">
        <v>0</v>
      </c>
      <c r="N47" s="65">
        <v>0</v>
      </c>
      <c r="O47" s="65">
        <v>1</v>
      </c>
      <c r="P47" s="65">
        <v>0</v>
      </c>
      <c r="Q47" s="65">
        <v>0</v>
      </c>
      <c r="R47" s="65">
        <v>0</v>
      </c>
      <c r="S47" s="66">
        <v>0</v>
      </c>
      <c r="T47" s="65">
        <v>1</v>
      </c>
      <c r="U47" s="65">
        <v>0</v>
      </c>
      <c r="V47" s="65">
        <v>0</v>
      </c>
      <c r="W47" s="66">
        <v>0</v>
      </c>
      <c r="X47" s="65">
        <v>0</v>
      </c>
      <c r="Y47" s="66">
        <v>0</v>
      </c>
      <c r="Z47" s="67">
        <v>0</v>
      </c>
      <c r="AA47" s="3"/>
      <c r="AB47" s="26">
        <f>6</f>
        <v>6</v>
      </c>
      <c r="AC47" s="26">
        <v>1</v>
      </c>
      <c r="AD47" s="26">
        <v>1</v>
      </c>
      <c r="AE47" s="26">
        <v>1</v>
      </c>
      <c r="AF47" s="26">
        <v>0</v>
      </c>
      <c r="AG47" s="26">
        <v>0</v>
      </c>
    </row>
    <row r="48" spans="1:33" ht="15.75" thickBot="1" x14ac:dyDescent="0.3">
      <c r="A48" s="202" t="s">
        <v>94</v>
      </c>
      <c r="B48" s="203"/>
      <c r="C48" s="203"/>
      <c r="D48" s="204"/>
      <c r="E48" s="39">
        <f>SUM(E37:E47)</f>
        <v>0</v>
      </c>
      <c r="F48" s="40">
        <f>SUM(F37:F47)</f>
        <v>19</v>
      </c>
      <c r="G48" s="40">
        <f t="shared" ref="G48:AG48" si="9">SUM(G37:G47)</f>
        <v>3</v>
      </c>
      <c r="H48" s="40">
        <f t="shared" si="9"/>
        <v>0</v>
      </c>
      <c r="I48" s="41">
        <f t="shared" si="9"/>
        <v>0</v>
      </c>
      <c r="J48" s="41">
        <f t="shared" si="9"/>
        <v>0</v>
      </c>
      <c r="K48" s="41">
        <f t="shared" si="9"/>
        <v>0</v>
      </c>
      <c r="L48" s="40">
        <f t="shared" si="9"/>
        <v>0</v>
      </c>
      <c r="M48" s="41">
        <f t="shared" si="9"/>
        <v>0</v>
      </c>
      <c r="N48" s="40">
        <f t="shared" si="9"/>
        <v>3</v>
      </c>
      <c r="O48" s="40">
        <f t="shared" si="9"/>
        <v>2</v>
      </c>
      <c r="P48" s="40">
        <f t="shared" si="9"/>
        <v>0</v>
      </c>
      <c r="Q48" s="40">
        <f t="shared" si="9"/>
        <v>0</v>
      </c>
      <c r="R48" s="40">
        <f t="shared" si="9"/>
        <v>1</v>
      </c>
      <c r="S48" s="41">
        <f t="shared" si="9"/>
        <v>0</v>
      </c>
      <c r="T48" s="40">
        <f t="shared" si="9"/>
        <v>2</v>
      </c>
      <c r="U48" s="40">
        <f t="shared" si="9"/>
        <v>0</v>
      </c>
      <c r="V48" s="40">
        <f t="shared" si="9"/>
        <v>0</v>
      </c>
      <c r="W48" s="41">
        <f t="shared" si="9"/>
        <v>0</v>
      </c>
      <c r="X48" s="40">
        <f t="shared" si="9"/>
        <v>0</v>
      </c>
      <c r="Y48" s="41">
        <f t="shared" si="9"/>
        <v>0</v>
      </c>
      <c r="Z48" s="42">
        <f t="shared" si="9"/>
        <v>0</v>
      </c>
      <c r="AA48" s="43">
        <f>SUM(E48:Z48)</f>
        <v>30</v>
      </c>
      <c r="AB48" s="44">
        <f t="shared" si="9"/>
        <v>132</v>
      </c>
      <c r="AC48" s="44">
        <f t="shared" si="9"/>
        <v>14</v>
      </c>
      <c r="AD48" s="44">
        <f t="shared" si="9"/>
        <v>8</v>
      </c>
      <c r="AE48" s="44">
        <f t="shared" si="9"/>
        <v>8</v>
      </c>
      <c r="AF48" s="44">
        <f t="shared" si="9"/>
        <v>4</v>
      </c>
      <c r="AG48" s="44">
        <f t="shared" si="9"/>
        <v>16</v>
      </c>
    </row>
    <row r="49" spans="1:33" s="75" customFormat="1" ht="15.75" thickBot="1" x14ac:dyDescent="0.3">
      <c r="A49" s="68"/>
      <c r="B49" s="69"/>
      <c r="C49" s="69"/>
      <c r="D49" s="69"/>
      <c r="E49" s="70"/>
      <c r="F49" s="70"/>
      <c r="G49" s="70"/>
      <c r="H49" s="70"/>
      <c r="I49" s="71"/>
      <c r="J49" s="71"/>
      <c r="K49" s="71"/>
      <c r="L49" s="70"/>
      <c r="M49" s="71"/>
      <c r="N49" s="70"/>
      <c r="O49" s="70"/>
      <c r="P49" s="70"/>
      <c r="Q49" s="70"/>
      <c r="R49" s="70"/>
      <c r="S49" s="71"/>
      <c r="T49" s="70"/>
      <c r="U49" s="70"/>
      <c r="V49" s="70"/>
      <c r="W49" s="71"/>
      <c r="X49" s="70"/>
      <c r="Y49" s="71"/>
      <c r="Z49" s="72"/>
      <c r="AA49" s="73">
        <f>SUM(E49:Z49)</f>
        <v>0</v>
      </c>
      <c r="AB49" s="74"/>
      <c r="AC49" s="74"/>
      <c r="AD49" s="74"/>
      <c r="AE49" s="74"/>
      <c r="AF49" s="74"/>
      <c r="AG49" s="74"/>
    </row>
    <row r="50" spans="1:33" ht="15.75" thickBot="1" x14ac:dyDescent="0.3">
      <c r="A50" s="45"/>
      <c r="B50" s="199" t="s">
        <v>95</v>
      </c>
      <c r="C50" s="199"/>
      <c r="D50" s="46"/>
      <c r="E50" s="47"/>
      <c r="F50" s="47"/>
      <c r="G50" s="47"/>
      <c r="H50" s="47"/>
      <c r="I50" s="48"/>
      <c r="J50" s="48"/>
      <c r="K50" s="48"/>
      <c r="L50" s="47"/>
      <c r="M50" s="48"/>
      <c r="N50" s="47"/>
      <c r="O50" s="47"/>
      <c r="P50" s="47"/>
      <c r="Q50" s="47"/>
      <c r="R50" s="47"/>
      <c r="S50" s="48"/>
      <c r="T50" s="47"/>
      <c r="U50" s="47"/>
      <c r="V50" s="47"/>
      <c r="W50" s="48"/>
      <c r="X50" s="47"/>
      <c r="Y50" s="48"/>
      <c r="Z50" s="49"/>
      <c r="AA50" s="53">
        <f>SUM(E50:Z50)</f>
        <v>0</v>
      </c>
      <c r="AB50" s="74"/>
      <c r="AC50" s="74"/>
      <c r="AD50" s="74"/>
      <c r="AE50" s="74"/>
      <c r="AF50" s="74"/>
      <c r="AG50" s="74"/>
    </row>
    <row r="51" spans="1:33" ht="15.75" thickBot="1" x14ac:dyDescent="0.3">
      <c r="A51" s="205" t="s">
        <v>96</v>
      </c>
      <c r="B51" s="206"/>
      <c r="C51" s="206"/>
      <c r="D51" s="206"/>
      <c r="E51" s="54">
        <f t="shared" ref="E51:J51" si="10">E48*E5</f>
        <v>0</v>
      </c>
      <c r="F51" s="54">
        <f t="shared" si="10"/>
        <v>373860082.39469403</v>
      </c>
      <c r="G51" s="54">
        <f t="shared" si="10"/>
        <v>59030539.325478002</v>
      </c>
      <c r="H51" s="54">
        <f t="shared" si="10"/>
        <v>0</v>
      </c>
      <c r="I51" s="55">
        <f t="shared" si="10"/>
        <v>0</v>
      </c>
      <c r="J51" s="55">
        <f t="shared" si="10"/>
        <v>0</v>
      </c>
      <c r="K51" s="55"/>
      <c r="L51" s="54">
        <f>L48*L5</f>
        <v>0</v>
      </c>
      <c r="M51" s="55">
        <f>M48*M5</f>
        <v>0</v>
      </c>
      <c r="N51" s="54">
        <f t="shared" ref="N51:Z51" si="11">N48*N5</f>
        <v>29224195.43973773</v>
      </c>
      <c r="O51" s="54">
        <f t="shared" si="11"/>
        <v>17287774.563073833</v>
      </c>
      <c r="P51" s="54">
        <f t="shared" si="11"/>
        <v>0</v>
      </c>
      <c r="Q51" s="54">
        <f t="shared" si="11"/>
        <v>0</v>
      </c>
      <c r="R51" s="54">
        <f t="shared" si="11"/>
        <v>11032959.160289085</v>
      </c>
      <c r="S51" s="55">
        <f t="shared" si="11"/>
        <v>0</v>
      </c>
      <c r="T51" s="54">
        <f t="shared" si="11"/>
        <v>22474546.437625911</v>
      </c>
      <c r="U51" s="54">
        <f t="shared" si="11"/>
        <v>0</v>
      </c>
      <c r="V51" s="54">
        <f t="shared" si="11"/>
        <v>0</v>
      </c>
      <c r="W51" s="55">
        <f t="shared" si="11"/>
        <v>0</v>
      </c>
      <c r="X51" s="54">
        <f t="shared" si="11"/>
        <v>0</v>
      </c>
      <c r="Y51" s="55">
        <f t="shared" si="11"/>
        <v>0</v>
      </c>
      <c r="Z51" s="56">
        <f t="shared" si="11"/>
        <v>0</v>
      </c>
      <c r="AA51" s="57">
        <f>SUM(E51:Z51)</f>
        <v>512910097.32089859</v>
      </c>
      <c r="AB51" s="77">
        <f t="shared" ref="AB51:AG51" si="12">AB48*AB5</f>
        <v>3987266.3600000003</v>
      </c>
      <c r="AC51" s="77">
        <f t="shared" si="12"/>
        <v>1643770.0066666668</v>
      </c>
      <c r="AD51" s="77">
        <f t="shared" si="12"/>
        <v>1203270.8799999999</v>
      </c>
      <c r="AE51" s="77">
        <f t="shared" si="12"/>
        <v>873713.8666666667</v>
      </c>
      <c r="AF51" s="77">
        <f t="shared" si="12"/>
        <v>1377578.9066666665</v>
      </c>
      <c r="AG51" s="77">
        <f t="shared" si="12"/>
        <v>1854267.52</v>
      </c>
    </row>
    <row r="52" spans="1:33" ht="15.75" thickBot="1" x14ac:dyDescent="0.3">
      <c r="A52" s="20" t="s">
        <v>121</v>
      </c>
      <c r="B52" s="21" t="s">
        <v>98</v>
      </c>
      <c r="C52" s="22" t="s">
        <v>122</v>
      </c>
      <c r="D52" s="22" t="s">
        <v>123</v>
      </c>
      <c r="E52" s="23">
        <v>0</v>
      </c>
      <c r="F52" s="23">
        <v>2</v>
      </c>
      <c r="G52" s="23">
        <v>0</v>
      </c>
      <c r="H52" s="23">
        <v>0</v>
      </c>
      <c r="I52" s="24">
        <v>0</v>
      </c>
      <c r="J52" s="24">
        <v>0</v>
      </c>
      <c r="K52" s="24">
        <v>0</v>
      </c>
      <c r="L52" s="23">
        <v>0</v>
      </c>
      <c r="M52" s="24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4">
        <v>0</v>
      </c>
      <c r="T52" s="23">
        <v>0</v>
      </c>
      <c r="U52" s="23">
        <v>0</v>
      </c>
      <c r="V52" s="23">
        <v>0</v>
      </c>
      <c r="W52" s="24">
        <v>0</v>
      </c>
      <c r="X52" s="23">
        <v>0</v>
      </c>
      <c r="Y52" s="24">
        <v>0</v>
      </c>
      <c r="Z52" s="25">
        <v>0</v>
      </c>
      <c r="AA52" s="3"/>
      <c r="AB52" s="26">
        <v>2</v>
      </c>
      <c r="AC52" s="26">
        <v>0</v>
      </c>
      <c r="AD52" s="26">
        <v>0</v>
      </c>
      <c r="AE52" s="26">
        <v>1</v>
      </c>
      <c r="AF52" s="26">
        <v>1</v>
      </c>
      <c r="AG52" s="26">
        <v>0</v>
      </c>
    </row>
    <row r="53" spans="1:33" ht="15.75" thickBot="1" x14ac:dyDescent="0.3">
      <c r="A53" s="28" t="s">
        <v>121</v>
      </c>
      <c r="B53" s="29" t="s">
        <v>124</v>
      </c>
      <c r="C53" s="30" t="s">
        <v>122</v>
      </c>
      <c r="D53" s="30" t="s">
        <v>123</v>
      </c>
      <c r="E53" s="31">
        <v>0</v>
      </c>
      <c r="F53" s="31">
        <v>6</v>
      </c>
      <c r="G53" s="31">
        <v>0</v>
      </c>
      <c r="H53" s="31">
        <v>0</v>
      </c>
      <c r="I53" s="32">
        <v>0</v>
      </c>
      <c r="J53" s="32">
        <v>0</v>
      </c>
      <c r="K53" s="24">
        <v>0</v>
      </c>
      <c r="L53" s="31">
        <v>0</v>
      </c>
      <c r="M53" s="32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2">
        <v>0</v>
      </c>
      <c r="T53" s="31">
        <v>0</v>
      </c>
      <c r="U53" s="31">
        <v>0</v>
      </c>
      <c r="V53" s="31">
        <v>0</v>
      </c>
      <c r="W53" s="32">
        <v>0</v>
      </c>
      <c r="X53" s="31">
        <v>0</v>
      </c>
      <c r="Y53" s="32">
        <v>0</v>
      </c>
      <c r="Z53" s="33">
        <v>0</v>
      </c>
      <c r="AA53" s="3"/>
      <c r="AB53" s="26">
        <v>17</v>
      </c>
      <c r="AC53" s="26">
        <v>0</v>
      </c>
      <c r="AD53" s="26">
        <v>0</v>
      </c>
      <c r="AE53" s="26">
        <v>0</v>
      </c>
      <c r="AF53" s="26">
        <v>0</v>
      </c>
      <c r="AG53" s="26">
        <v>1</v>
      </c>
    </row>
    <row r="54" spans="1:33" ht="15.75" thickBot="1" x14ac:dyDescent="0.3">
      <c r="A54" s="28" t="s">
        <v>121</v>
      </c>
      <c r="B54" s="29" t="s">
        <v>124</v>
      </c>
      <c r="C54" s="30" t="s">
        <v>125</v>
      </c>
      <c r="D54" s="30" t="s">
        <v>123</v>
      </c>
      <c r="E54" s="31">
        <v>0</v>
      </c>
      <c r="F54" s="31">
        <v>1</v>
      </c>
      <c r="G54" s="31">
        <v>0</v>
      </c>
      <c r="H54" s="31">
        <v>0</v>
      </c>
      <c r="I54" s="32">
        <v>0</v>
      </c>
      <c r="J54" s="32">
        <v>0</v>
      </c>
      <c r="K54" s="24">
        <v>0</v>
      </c>
      <c r="L54" s="31">
        <v>0</v>
      </c>
      <c r="M54" s="32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2">
        <v>0</v>
      </c>
      <c r="T54" s="31">
        <v>0</v>
      </c>
      <c r="U54" s="31">
        <v>0</v>
      </c>
      <c r="V54" s="31">
        <v>0</v>
      </c>
      <c r="W54" s="32">
        <v>0</v>
      </c>
      <c r="X54" s="31">
        <v>0</v>
      </c>
      <c r="Y54" s="32">
        <v>0</v>
      </c>
      <c r="Z54" s="33">
        <v>0</v>
      </c>
      <c r="AA54" s="3"/>
      <c r="AB54" s="26"/>
      <c r="AC54" s="26"/>
      <c r="AD54" s="26"/>
      <c r="AE54" s="26"/>
      <c r="AF54" s="26"/>
      <c r="AG54" s="26"/>
    </row>
    <row r="55" spans="1:33" ht="41.25" thickBot="1" x14ac:dyDescent="0.3">
      <c r="A55" s="28" t="s">
        <v>121</v>
      </c>
      <c r="B55" s="29" t="s">
        <v>126</v>
      </c>
      <c r="C55" s="30" t="s">
        <v>127</v>
      </c>
      <c r="D55" s="30" t="s">
        <v>123</v>
      </c>
      <c r="E55" s="31">
        <v>0</v>
      </c>
      <c r="F55" s="31">
        <v>3</v>
      </c>
      <c r="G55" s="31">
        <v>0</v>
      </c>
      <c r="H55" s="31">
        <v>0</v>
      </c>
      <c r="I55" s="32">
        <v>0</v>
      </c>
      <c r="J55" s="32">
        <v>0</v>
      </c>
      <c r="K55" s="24">
        <v>0</v>
      </c>
      <c r="L55" s="31">
        <v>0</v>
      </c>
      <c r="M55" s="32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2">
        <v>0</v>
      </c>
      <c r="T55" s="31">
        <v>0</v>
      </c>
      <c r="U55" s="31">
        <v>0</v>
      </c>
      <c r="V55" s="31">
        <v>0</v>
      </c>
      <c r="W55" s="32">
        <v>0</v>
      </c>
      <c r="X55" s="31">
        <v>0</v>
      </c>
      <c r="Y55" s="32">
        <v>0</v>
      </c>
      <c r="Z55" s="33">
        <v>0</v>
      </c>
      <c r="AA55" s="3"/>
      <c r="AB55" s="26">
        <v>16</v>
      </c>
      <c r="AC55" s="26">
        <v>0</v>
      </c>
      <c r="AD55" s="26">
        <v>1</v>
      </c>
      <c r="AE55" s="26">
        <v>1</v>
      </c>
      <c r="AF55" s="26">
        <v>0</v>
      </c>
      <c r="AG55" s="26">
        <v>2</v>
      </c>
    </row>
    <row r="56" spans="1:33" ht="15.75" thickBot="1" x14ac:dyDescent="0.3">
      <c r="A56" s="28" t="s">
        <v>121</v>
      </c>
      <c r="B56" s="30" t="s">
        <v>124</v>
      </c>
      <c r="C56" s="30" t="s">
        <v>128</v>
      </c>
      <c r="D56" s="30" t="s">
        <v>129</v>
      </c>
      <c r="E56" s="31">
        <v>0</v>
      </c>
      <c r="F56" s="31">
        <v>0</v>
      </c>
      <c r="G56" s="31">
        <v>0</v>
      </c>
      <c r="H56" s="31">
        <v>0</v>
      </c>
      <c r="I56" s="32">
        <v>0</v>
      </c>
      <c r="J56" s="32">
        <v>0</v>
      </c>
      <c r="K56" s="24">
        <v>0</v>
      </c>
      <c r="L56" s="31">
        <v>0</v>
      </c>
      <c r="M56" s="32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2">
        <v>0</v>
      </c>
      <c r="T56" s="31">
        <v>0</v>
      </c>
      <c r="U56" s="31">
        <v>0</v>
      </c>
      <c r="V56" s="31">
        <v>0</v>
      </c>
      <c r="W56" s="32">
        <v>0</v>
      </c>
      <c r="X56" s="31">
        <v>0</v>
      </c>
      <c r="Y56" s="32">
        <v>0</v>
      </c>
      <c r="Z56" s="33">
        <v>0</v>
      </c>
      <c r="AA56" s="3"/>
      <c r="AB56" s="26"/>
      <c r="AC56" s="26"/>
      <c r="AD56" s="26"/>
      <c r="AE56" s="26"/>
      <c r="AF56" s="26"/>
      <c r="AG56" s="26"/>
    </row>
    <row r="57" spans="1:33" ht="15.75" thickBot="1" x14ac:dyDescent="0.3">
      <c r="A57" s="28" t="s">
        <v>121</v>
      </c>
      <c r="B57" s="29" t="s">
        <v>124</v>
      </c>
      <c r="C57" s="30" t="s">
        <v>130</v>
      </c>
      <c r="D57" s="30" t="s">
        <v>129</v>
      </c>
      <c r="E57" s="31">
        <v>0</v>
      </c>
      <c r="F57" s="31">
        <v>5</v>
      </c>
      <c r="G57" s="31">
        <v>0</v>
      </c>
      <c r="H57" s="31">
        <v>0</v>
      </c>
      <c r="I57" s="32">
        <v>0</v>
      </c>
      <c r="J57" s="32">
        <v>0</v>
      </c>
      <c r="K57" s="24">
        <v>0</v>
      </c>
      <c r="L57" s="31">
        <v>0</v>
      </c>
      <c r="M57" s="32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2">
        <v>0</v>
      </c>
      <c r="T57" s="31">
        <v>0</v>
      </c>
      <c r="U57" s="31">
        <v>0</v>
      </c>
      <c r="V57" s="31">
        <v>0</v>
      </c>
      <c r="W57" s="32">
        <v>0</v>
      </c>
      <c r="X57" s="31">
        <v>0</v>
      </c>
      <c r="Y57" s="32">
        <v>0</v>
      </c>
      <c r="Z57" s="33">
        <v>0</v>
      </c>
      <c r="AA57" s="3"/>
      <c r="AB57" s="26">
        <v>15</v>
      </c>
      <c r="AC57" s="26">
        <v>2</v>
      </c>
      <c r="AD57" s="26">
        <v>1</v>
      </c>
      <c r="AE57" s="26">
        <v>0</v>
      </c>
      <c r="AF57" s="26">
        <v>0</v>
      </c>
      <c r="AG57" s="26">
        <v>0</v>
      </c>
    </row>
    <row r="58" spans="1:33" ht="15.75" thickBot="1" x14ac:dyDescent="0.3">
      <c r="A58" s="28" t="s">
        <v>121</v>
      </c>
      <c r="B58" s="29" t="s">
        <v>124</v>
      </c>
      <c r="C58" s="30" t="s">
        <v>131</v>
      </c>
      <c r="D58" s="30" t="s">
        <v>132</v>
      </c>
      <c r="E58" s="31">
        <v>0</v>
      </c>
      <c r="F58" s="31">
        <v>2</v>
      </c>
      <c r="G58" s="31">
        <v>0</v>
      </c>
      <c r="H58" s="31">
        <v>0</v>
      </c>
      <c r="I58" s="32">
        <v>0</v>
      </c>
      <c r="J58" s="32">
        <v>0</v>
      </c>
      <c r="K58" s="24">
        <v>0</v>
      </c>
      <c r="L58" s="31">
        <v>0</v>
      </c>
      <c r="M58" s="32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2">
        <v>0</v>
      </c>
      <c r="T58" s="31">
        <v>0</v>
      </c>
      <c r="U58" s="31">
        <v>0</v>
      </c>
      <c r="V58" s="31">
        <v>0</v>
      </c>
      <c r="W58" s="32">
        <v>0</v>
      </c>
      <c r="X58" s="31">
        <v>0</v>
      </c>
      <c r="Y58" s="32">
        <v>0</v>
      </c>
      <c r="Z58" s="33">
        <v>0</v>
      </c>
      <c r="AA58" s="3"/>
      <c r="AB58" s="26">
        <f>10-4</f>
        <v>6</v>
      </c>
      <c r="AC58" s="26">
        <v>2</v>
      </c>
      <c r="AD58" s="26">
        <v>1</v>
      </c>
      <c r="AE58" s="26">
        <v>1</v>
      </c>
      <c r="AF58" s="26">
        <v>0</v>
      </c>
      <c r="AG58" s="26">
        <v>0</v>
      </c>
    </row>
    <row r="59" spans="1:33" ht="54.75" thickBot="1" x14ac:dyDescent="0.3">
      <c r="A59" s="28" t="s">
        <v>121</v>
      </c>
      <c r="B59" s="29" t="s">
        <v>124</v>
      </c>
      <c r="C59" s="30" t="s">
        <v>133</v>
      </c>
      <c r="D59" s="30" t="s">
        <v>123</v>
      </c>
      <c r="E59" s="31">
        <v>0</v>
      </c>
      <c r="F59" s="31">
        <v>3</v>
      </c>
      <c r="G59" s="31">
        <v>0</v>
      </c>
      <c r="H59" s="31">
        <v>0</v>
      </c>
      <c r="I59" s="32">
        <v>0</v>
      </c>
      <c r="J59" s="32">
        <v>0</v>
      </c>
      <c r="K59" s="24">
        <v>0</v>
      </c>
      <c r="L59" s="31">
        <v>0</v>
      </c>
      <c r="M59" s="32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2">
        <v>0</v>
      </c>
      <c r="T59" s="31">
        <v>0</v>
      </c>
      <c r="U59" s="31">
        <v>0</v>
      </c>
      <c r="V59" s="31">
        <v>0</v>
      </c>
      <c r="W59" s="32">
        <v>0</v>
      </c>
      <c r="X59" s="31">
        <v>0</v>
      </c>
      <c r="Y59" s="32">
        <v>0</v>
      </c>
      <c r="Z59" s="33">
        <v>0</v>
      </c>
      <c r="AA59" s="3"/>
      <c r="AB59" s="26">
        <v>14</v>
      </c>
      <c r="AC59" s="26">
        <v>0</v>
      </c>
      <c r="AD59" s="26">
        <v>1</v>
      </c>
      <c r="AE59" s="26">
        <v>1</v>
      </c>
      <c r="AF59" s="26">
        <v>0</v>
      </c>
      <c r="AG59" s="26">
        <v>2</v>
      </c>
    </row>
    <row r="60" spans="1:33" ht="27.75" thickBot="1" x14ac:dyDescent="0.3">
      <c r="A60" s="28" t="s">
        <v>121</v>
      </c>
      <c r="B60" s="29" t="s">
        <v>134</v>
      </c>
      <c r="C60" s="30" t="s">
        <v>135</v>
      </c>
      <c r="D60" s="30" t="s">
        <v>123</v>
      </c>
      <c r="E60" s="31">
        <v>0</v>
      </c>
      <c r="F60" s="31">
        <v>1</v>
      </c>
      <c r="G60" s="31">
        <v>0</v>
      </c>
      <c r="H60" s="31">
        <v>0</v>
      </c>
      <c r="I60" s="32">
        <v>0</v>
      </c>
      <c r="J60" s="32">
        <v>0</v>
      </c>
      <c r="K60" s="24">
        <v>0</v>
      </c>
      <c r="L60" s="31">
        <v>0</v>
      </c>
      <c r="M60" s="32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2">
        <v>0</v>
      </c>
      <c r="T60" s="31">
        <v>0</v>
      </c>
      <c r="U60" s="31">
        <v>0</v>
      </c>
      <c r="V60" s="31">
        <v>0</v>
      </c>
      <c r="W60" s="32">
        <v>0</v>
      </c>
      <c r="X60" s="31">
        <v>0</v>
      </c>
      <c r="Y60" s="32">
        <v>0</v>
      </c>
      <c r="Z60" s="33">
        <v>0</v>
      </c>
      <c r="AA60" s="3"/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</row>
    <row r="61" spans="1:33" ht="15.75" thickBot="1" x14ac:dyDescent="0.3">
      <c r="A61" s="28" t="s">
        <v>121</v>
      </c>
      <c r="B61" s="29" t="s">
        <v>134</v>
      </c>
      <c r="C61" s="30" t="s">
        <v>136</v>
      </c>
      <c r="D61" s="30" t="s">
        <v>123</v>
      </c>
      <c r="E61" s="31">
        <v>2</v>
      </c>
      <c r="F61" s="31">
        <v>10</v>
      </c>
      <c r="G61" s="31">
        <v>0</v>
      </c>
      <c r="H61" s="31">
        <v>0</v>
      </c>
      <c r="I61" s="32">
        <v>0</v>
      </c>
      <c r="J61" s="32">
        <v>0</v>
      </c>
      <c r="K61" s="24">
        <v>0</v>
      </c>
      <c r="L61" s="31">
        <v>0</v>
      </c>
      <c r="M61" s="32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2">
        <v>0</v>
      </c>
      <c r="T61" s="31">
        <v>0</v>
      </c>
      <c r="U61" s="31">
        <v>0</v>
      </c>
      <c r="V61" s="31">
        <v>0</v>
      </c>
      <c r="W61" s="32">
        <v>0</v>
      </c>
      <c r="X61" s="31">
        <v>0</v>
      </c>
      <c r="Y61" s="32">
        <v>0</v>
      </c>
      <c r="Z61" s="33">
        <v>0</v>
      </c>
      <c r="AA61" s="3"/>
      <c r="AB61" s="26">
        <f>37-27</f>
        <v>10</v>
      </c>
      <c r="AC61" s="26">
        <f>2</f>
        <v>2</v>
      </c>
      <c r="AD61" s="26">
        <f>2</f>
        <v>2</v>
      </c>
      <c r="AE61" s="26">
        <f>2</f>
        <v>2</v>
      </c>
      <c r="AF61" s="26">
        <f>2</f>
        <v>2</v>
      </c>
      <c r="AG61" s="26">
        <f>1</f>
        <v>1</v>
      </c>
    </row>
    <row r="62" spans="1:33" ht="27.75" thickBot="1" x14ac:dyDescent="0.3">
      <c r="A62" s="28" t="s">
        <v>121</v>
      </c>
      <c r="B62" s="29" t="s">
        <v>137</v>
      </c>
      <c r="C62" s="30" t="s">
        <v>138</v>
      </c>
      <c r="D62" s="30" t="s">
        <v>139</v>
      </c>
      <c r="E62" s="31">
        <v>0</v>
      </c>
      <c r="F62" s="31">
        <v>2</v>
      </c>
      <c r="G62" s="31">
        <v>0</v>
      </c>
      <c r="H62" s="31">
        <v>0</v>
      </c>
      <c r="I62" s="32">
        <v>0</v>
      </c>
      <c r="J62" s="32">
        <v>0</v>
      </c>
      <c r="K62" s="24">
        <v>0</v>
      </c>
      <c r="L62" s="31">
        <v>0</v>
      </c>
      <c r="M62" s="32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2">
        <v>0</v>
      </c>
      <c r="T62" s="31">
        <v>0</v>
      </c>
      <c r="U62" s="31">
        <v>0</v>
      </c>
      <c r="V62" s="31">
        <v>0</v>
      </c>
      <c r="W62" s="32">
        <v>0</v>
      </c>
      <c r="X62" s="31">
        <v>0</v>
      </c>
      <c r="Y62" s="32">
        <v>0</v>
      </c>
      <c r="Z62" s="33">
        <v>0</v>
      </c>
      <c r="AA62" s="3"/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</row>
    <row r="63" spans="1:33" ht="15.75" thickBot="1" x14ac:dyDescent="0.3">
      <c r="A63" s="28" t="s">
        <v>121</v>
      </c>
      <c r="B63" s="29" t="s">
        <v>137</v>
      </c>
      <c r="C63" s="30" t="s">
        <v>140</v>
      </c>
      <c r="D63" s="30" t="s">
        <v>141</v>
      </c>
      <c r="E63" s="31">
        <v>0</v>
      </c>
      <c r="F63" s="31">
        <v>3</v>
      </c>
      <c r="G63" s="31">
        <v>0</v>
      </c>
      <c r="H63" s="31">
        <v>0</v>
      </c>
      <c r="I63" s="32">
        <v>0</v>
      </c>
      <c r="J63" s="32">
        <v>0</v>
      </c>
      <c r="K63" s="24">
        <v>0</v>
      </c>
      <c r="L63" s="31">
        <v>0</v>
      </c>
      <c r="M63" s="32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2">
        <v>0</v>
      </c>
      <c r="T63" s="31">
        <v>0</v>
      </c>
      <c r="U63" s="31">
        <v>0</v>
      </c>
      <c r="V63" s="31">
        <v>0</v>
      </c>
      <c r="W63" s="32">
        <v>0</v>
      </c>
      <c r="X63" s="31">
        <v>0</v>
      </c>
      <c r="Y63" s="32">
        <v>0</v>
      </c>
      <c r="Z63" s="33">
        <v>0</v>
      </c>
      <c r="AA63" s="3"/>
      <c r="AB63" s="26">
        <v>10</v>
      </c>
      <c r="AC63" s="26">
        <v>2</v>
      </c>
      <c r="AD63" s="26">
        <v>1</v>
      </c>
      <c r="AE63" s="26">
        <v>1</v>
      </c>
      <c r="AF63" s="26">
        <v>1</v>
      </c>
      <c r="AG63" s="26">
        <v>1</v>
      </c>
    </row>
    <row r="64" spans="1:33" ht="27.75" thickBot="1" x14ac:dyDescent="0.3">
      <c r="A64" s="28" t="s">
        <v>121</v>
      </c>
      <c r="B64" s="29" t="s">
        <v>137</v>
      </c>
      <c r="C64" s="30" t="s">
        <v>142</v>
      </c>
      <c r="D64" s="30" t="s">
        <v>143</v>
      </c>
      <c r="E64" s="31">
        <v>0</v>
      </c>
      <c r="F64" s="31">
        <v>3</v>
      </c>
      <c r="G64" s="31">
        <v>0</v>
      </c>
      <c r="H64" s="31">
        <v>0</v>
      </c>
      <c r="I64" s="32">
        <v>0</v>
      </c>
      <c r="J64" s="32">
        <v>0</v>
      </c>
      <c r="K64" s="24">
        <v>0</v>
      </c>
      <c r="L64" s="31">
        <v>0</v>
      </c>
      <c r="M64" s="32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2">
        <v>0</v>
      </c>
      <c r="T64" s="31">
        <v>0</v>
      </c>
      <c r="U64" s="31">
        <v>0</v>
      </c>
      <c r="V64" s="31">
        <v>0</v>
      </c>
      <c r="W64" s="32">
        <v>0</v>
      </c>
      <c r="X64" s="31">
        <v>0</v>
      </c>
      <c r="Y64" s="32">
        <v>0</v>
      </c>
      <c r="Z64" s="33">
        <v>0</v>
      </c>
      <c r="AA64" s="3"/>
      <c r="AB64" s="26">
        <v>12</v>
      </c>
      <c r="AC64" s="26">
        <v>2</v>
      </c>
      <c r="AD64" s="26">
        <v>1</v>
      </c>
      <c r="AE64" s="26">
        <v>1</v>
      </c>
      <c r="AF64" s="26">
        <v>1</v>
      </c>
      <c r="AG64" s="26">
        <v>1</v>
      </c>
    </row>
    <row r="65" spans="1:33" ht="54.75" thickBot="1" x14ac:dyDescent="0.3">
      <c r="A65" s="78" t="s">
        <v>121</v>
      </c>
      <c r="B65" s="29" t="s">
        <v>137</v>
      </c>
      <c r="C65" s="29" t="s">
        <v>144</v>
      </c>
      <c r="D65" s="29" t="s">
        <v>123</v>
      </c>
      <c r="E65" s="31">
        <v>0</v>
      </c>
      <c r="F65" s="31">
        <v>2</v>
      </c>
      <c r="G65" s="31">
        <v>0</v>
      </c>
      <c r="H65" s="31">
        <v>0</v>
      </c>
      <c r="I65" s="32"/>
      <c r="J65" s="32"/>
      <c r="K65" s="24"/>
      <c r="L65" s="31">
        <v>0</v>
      </c>
      <c r="M65" s="32"/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2"/>
      <c r="T65" s="31">
        <v>0</v>
      </c>
      <c r="U65" s="31">
        <v>0</v>
      </c>
      <c r="V65" s="31">
        <v>0</v>
      </c>
      <c r="W65" s="32"/>
      <c r="X65" s="31">
        <v>0</v>
      </c>
      <c r="Y65" s="32"/>
      <c r="Z65" s="33"/>
      <c r="AA65" s="3"/>
      <c r="AB65" s="26">
        <v>16</v>
      </c>
      <c r="AC65" s="26">
        <v>0</v>
      </c>
      <c r="AD65" s="26">
        <v>1</v>
      </c>
      <c r="AE65" s="26">
        <v>1</v>
      </c>
      <c r="AF65" s="26">
        <v>1</v>
      </c>
      <c r="AG65" s="26">
        <v>1</v>
      </c>
    </row>
    <row r="66" spans="1:33" ht="27.75" thickBot="1" x14ac:dyDescent="0.3">
      <c r="A66" s="28" t="s">
        <v>121</v>
      </c>
      <c r="B66" s="29" t="s">
        <v>145</v>
      </c>
      <c r="C66" s="30" t="s">
        <v>146</v>
      </c>
      <c r="D66" s="30" t="s">
        <v>147</v>
      </c>
      <c r="E66" s="31">
        <v>0</v>
      </c>
      <c r="F66" s="31">
        <v>3</v>
      </c>
      <c r="G66" s="31">
        <v>0</v>
      </c>
      <c r="H66" s="31">
        <v>0</v>
      </c>
      <c r="I66" s="32">
        <v>0</v>
      </c>
      <c r="J66" s="32">
        <v>0</v>
      </c>
      <c r="K66" s="24">
        <v>0</v>
      </c>
      <c r="L66" s="31">
        <v>0</v>
      </c>
      <c r="M66" s="32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2">
        <v>0</v>
      </c>
      <c r="T66" s="31">
        <v>0</v>
      </c>
      <c r="U66" s="31">
        <v>0</v>
      </c>
      <c r="V66" s="31">
        <v>0</v>
      </c>
      <c r="W66" s="32">
        <v>0</v>
      </c>
      <c r="X66" s="31">
        <v>0</v>
      </c>
      <c r="Y66" s="32">
        <v>0</v>
      </c>
      <c r="Z66" s="33">
        <v>0</v>
      </c>
      <c r="AA66" s="3"/>
      <c r="AB66" s="26">
        <v>12</v>
      </c>
      <c r="AC66" s="26">
        <v>0</v>
      </c>
      <c r="AD66" s="26">
        <v>1</v>
      </c>
      <c r="AE66" s="26">
        <v>1</v>
      </c>
      <c r="AF66" s="26">
        <v>1</v>
      </c>
      <c r="AG66" s="26">
        <v>1</v>
      </c>
    </row>
    <row r="67" spans="1:33" ht="15.75" thickBot="1" x14ac:dyDescent="0.3">
      <c r="A67" s="28" t="s">
        <v>121</v>
      </c>
      <c r="B67" s="29" t="s">
        <v>145</v>
      </c>
      <c r="C67" s="30" t="s">
        <v>148</v>
      </c>
      <c r="D67" s="30" t="s">
        <v>149</v>
      </c>
      <c r="E67" s="31">
        <v>0</v>
      </c>
      <c r="F67" s="31">
        <v>3</v>
      </c>
      <c r="G67" s="31">
        <v>0</v>
      </c>
      <c r="H67" s="31">
        <v>0</v>
      </c>
      <c r="I67" s="32">
        <v>0</v>
      </c>
      <c r="J67" s="32">
        <v>0</v>
      </c>
      <c r="K67" s="24">
        <v>0</v>
      </c>
      <c r="L67" s="31">
        <v>0</v>
      </c>
      <c r="M67" s="32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2">
        <v>0</v>
      </c>
      <c r="T67" s="31">
        <v>0</v>
      </c>
      <c r="U67" s="31">
        <v>0</v>
      </c>
      <c r="V67" s="31">
        <v>0</v>
      </c>
      <c r="W67" s="32">
        <v>0</v>
      </c>
      <c r="X67" s="31">
        <v>0</v>
      </c>
      <c r="Y67" s="32">
        <v>0</v>
      </c>
      <c r="Z67" s="33">
        <v>0</v>
      </c>
      <c r="AA67" s="3"/>
      <c r="AB67" s="26">
        <v>12</v>
      </c>
      <c r="AC67" s="26">
        <v>0</v>
      </c>
      <c r="AD67" s="26">
        <v>1</v>
      </c>
      <c r="AE67" s="26">
        <v>1</v>
      </c>
      <c r="AF67" s="26">
        <v>1</v>
      </c>
      <c r="AG67" s="26">
        <v>1</v>
      </c>
    </row>
    <row r="68" spans="1:33" ht="24.75" customHeight="1" thickBot="1" x14ac:dyDescent="0.3">
      <c r="A68" s="28" t="s">
        <v>121</v>
      </c>
      <c r="B68" s="29" t="s">
        <v>150</v>
      </c>
      <c r="C68" s="30" t="s">
        <v>151</v>
      </c>
      <c r="D68" s="30" t="s">
        <v>152</v>
      </c>
      <c r="E68" s="31">
        <v>0</v>
      </c>
      <c r="F68" s="31">
        <v>4</v>
      </c>
      <c r="G68" s="31">
        <v>0</v>
      </c>
      <c r="H68" s="31">
        <v>0</v>
      </c>
      <c r="I68" s="32">
        <v>0</v>
      </c>
      <c r="J68" s="32">
        <v>0</v>
      </c>
      <c r="K68" s="24">
        <v>0</v>
      </c>
      <c r="L68" s="31">
        <v>0</v>
      </c>
      <c r="M68" s="32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2">
        <v>0</v>
      </c>
      <c r="T68" s="31">
        <v>0</v>
      </c>
      <c r="U68" s="31">
        <v>0</v>
      </c>
      <c r="V68" s="31">
        <v>0</v>
      </c>
      <c r="W68" s="32">
        <v>0</v>
      </c>
      <c r="X68" s="31">
        <v>0</v>
      </c>
      <c r="Y68" s="32">
        <v>0</v>
      </c>
      <c r="Z68" s="33">
        <v>0</v>
      </c>
      <c r="AA68" s="38">
        <f>AA73*7.5</f>
        <v>8122164947.9315109</v>
      </c>
      <c r="AB68" s="26">
        <v>32</v>
      </c>
      <c r="AC68" s="26">
        <v>0</v>
      </c>
      <c r="AD68" s="26">
        <v>1</v>
      </c>
      <c r="AE68" s="26">
        <v>1</v>
      </c>
      <c r="AF68" s="26">
        <v>1</v>
      </c>
      <c r="AG68" s="26">
        <v>1</v>
      </c>
    </row>
    <row r="69" spans="1:33" ht="15.75" thickBot="1" x14ac:dyDescent="0.3">
      <c r="A69" s="79"/>
      <c r="B69" s="80"/>
      <c r="C69" s="80"/>
      <c r="D69" s="80"/>
      <c r="E69" s="81"/>
      <c r="F69" s="82"/>
      <c r="G69" s="82"/>
      <c r="H69" s="82"/>
      <c r="I69" s="83"/>
      <c r="J69" s="83"/>
      <c r="K69" s="84"/>
      <c r="L69" s="82"/>
      <c r="M69" s="83"/>
      <c r="N69" s="82"/>
      <c r="O69" s="82"/>
      <c r="P69" s="82"/>
      <c r="Q69" s="82"/>
      <c r="R69" s="82"/>
      <c r="S69" s="83"/>
      <c r="T69" s="82"/>
      <c r="U69" s="82"/>
      <c r="V69" s="82"/>
      <c r="W69" s="83"/>
      <c r="X69" s="82"/>
      <c r="Y69" s="83"/>
      <c r="Z69" s="85"/>
      <c r="AA69" s="3"/>
      <c r="AB69" s="86"/>
      <c r="AC69" s="86"/>
      <c r="AD69" s="86"/>
      <c r="AE69" s="86"/>
      <c r="AF69" s="86"/>
      <c r="AG69" s="86"/>
    </row>
    <row r="70" spans="1:33" ht="15.75" thickBot="1" x14ac:dyDescent="0.3">
      <c r="A70" s="202" t="s">
        <v>94</v>
      </c>
      <c r="B70" s="203"/>
      <c r="C70" s="203"/>
      <c r="D70" s="204"/>
      <c r="E70" s="39">
        <f t="shared" ref="E70:AG70" si="13">SUM(E52:E68)</f>
        <v>2</v>
      </c>
      <c r="F70" s="40">
        <f>SUM(F52:F69)</f>
        <v>53</v>
      </c>
      <c r="G70" s="40">
        <f t="shared" si="13"/>
        <v>0</v>
      </c>
      <c r="H70" s="40">
        <f t="shared" si="13"/>
        <v>0</v>
      </c>
      <c r="I70" s="41">
        <f t="shared" si="13"/>
        <v>0</v>
      </c>
      <c r="J70" s="41">
        <f t="shared" si="13"/>
        <v>0</v>
      </c>
      <c r="K70" s="41"/>
      <c r="L70" s="40">
        <f t="shared" si="13"/>
        <v>0</v>
      </c>
      <c r="M70" s="41">
        <f t="shared" si="13"/>
        <v>0</v>
      </c>
      <c r="N70" s="40">
        <f t="shared" si="13"/>
        <v>0</v>
      </c>
      <c r="O70" s="40">
        <f t="shared" si="13"/>
        <v>0</v>
      </c>
      <c r="P70" s="40">
        <f t="shared" si="13"/>
        <v>0</v>
      </c>
      <c r="Q70" s="40">
        <f t="shared" si="13"/>
        <v>0</v>
      </c>
      <c r="R70" s="40">
        <f t="shared" si="13"/>
        <v>0</v>
      </c>
      <c r="S70" s="41">
        <f t="shared" si="13"/>
        <v>0</v>
      </c>
      <c r="T70" s="40">
        <f t="shared" si="13"/>
        <v>0</v>
      </c>
      <c r="U70" s="40">
        <f t="shared" si="13"/>
        <v>0</v>
      </c>
      <c r="V70" s="40">
        <f t="shared" si="13"/>
        <v>0</v>
      </c>
      <c r="W70" s="41">
        <f t="shared" si="13"/>
        <v>0</v>
      </c>
      <c r="X70" s="40">
        <f t="shared" si="13"/>
        <v>0</v>
      </c>
      <c r="Y70" s="41">
        <f t="shared" si="13"/>
        <v>0</v>
      </c>
      <c r="Z70" s="42">
        <f t="shared" si="13"/>
        <v>0</v>
      </c>
      <c r="AA70" s="43">
        <f>SUM(E70:Z70)</f>
        <v>55</v>
      </c>
      <c r="AB70" s="44">
        <f t="shared" si="13"/>
        <v>174</v>
      </c>
      <c r="AC70" s="44">
        <f t="shared" si="13"/>
        <v>10</v>
      </c>
      <c r="AD70" s="44">
        <f t="shared" si="13"/>
        <v>12</v>
      </c>
      <c r="AE70" s="44">
        <f t="shared" si="13"/>
        <v>12</v>
      </c>
      <c r="AF70" s="44">
        <f t="shared" si="13"/>
        <v>9</v>
      </c>
      <c r="AG70" s="44">
        <f t="shared" si="13"/>
        <v>12</v>
      </c>
    </row>
    <row r="71" spans="1:33" s="75" customFormat="1" ht="15.75" thickBot="1" x14ac:dyDescent="0.3">
      <c r="A71" s="68"/>
      <c r="B71" s="69"/>
      <c r="C71" s="69"/>
      <c r="D71" s="69"/>
      <c r="E71" s="70"/>
      <c r="F71" s="70"/>
      <c r="G71" s="70"/>
      <c r="H71" s="70"/>
      <c r="I71" s="71"/>
      <c r="J71" s="71"/>
      <c r="K71" s="71"/>
      <c r="L71" s="70"/>
      <c r="M71" s="71"/>
      <c r="N71" s="70"/>
      <c r="O71" s="70"/>
      <c r="P71" s="70"/>
      <c r="Q71" s="70"/>
      <c r="R71" s="70"/>
      <c r="S71" s="71"/>
      <c r="T71" s="70"/>
      <c r="U71" s="70"/>
      <c r="V71" s="70"/>
      <c r="W71" s="71"/>
      <c r="X71" s="70"/>
      <c r="Y71" s="71"/>
      <c r="Z71" s="72"/>
      <c r="AA71" s="73">
        <f>SUM(E71:Z71)</f>
        <v>0</v>
      </c>
      <c r="AB71" s="74"/>
      <c r="AC71" s="74"/>
      <c r="AD71" s="74"/>
      <c r="AE71" s="74"/>
      <c r="AF71" s="74"/>
      <c r="AG71" s="74"/>
    </row>
    <row r="72" spans="1:33" ht="15.75" thickBot="1" x14ac:dyDescent="0.3">
      <c r="A72" s="45"/>
      <c r="B72" s="199" t="s">
        <v>95</v>
      </c>
      <c r="C72" s="199"/>
      <c r="D72" s="46"/>
      <c r="E72" s="47"/>
      <c r="F72" s="47"/>
      <c r="G72" s="47"/>
      <c r="H72" s="47"/>
      <c r="I72" s="48"/>
      <c r="J72" s="48"/>
      <c r="K72" s="48"/>
      <c r="L72" s="47"/>
      <c r="M72" s="48"/>
      <c r="N72" s="47"/>
      <c r="O72" s="47"/>
      <c r="P72" s="47"/>
      <c r="Q72" s="47"/>
      <c r="R72" s="47"/>
      <c r="S72" s="48"/>
      <c r="T72" s="47"/>
      <c r="U72" s="47"/>
      <c r="V72" s="47"/>
      <c r="W72" s="48"/>
      <c r="X72" s="47"/>
      <c r="Y72" s="48"/>
      <c r="Z72" s="49"/>
      <c r="AA72" s="53">
        <f>SUM(E72:Z72)</f>
        <v>0</v>
      </c>
      <c r="AB72" s="74"/>
      <c r="AC72" s="74"/>
      <c r="AD72" s="74"/>
      <c r="AE72" s="74"/>
      <c r="AF72" s="74"/>
      <c r="AG72" s="74"/>
    </row>
    <row r="73" spans="1:33" ht="15.75" thickBot="1" x14ac:dyDescent="0.3">
      <c r="A73" s="205" t="s">
        <v>96</v>
      </c>
      <c r="B73" s="206"/>
      <c r="C73" s="206"/>
      <c r="D73" s="206"/>
      <c r="E73" s="54">
        <f t="shared" ref="E73:J73" si="14">E70*E5</f>
        <v>40082464.974090002</v>
      </c>
      <c r="F73" s="54">
        <f t="shared" si="14"/>
        <v>1042872861.4167781</v>
      </c>
      <c r="G73" s="54">
        <f t="shared" si="14"/>
        <v>0</v>
      </c>
      <c r="H73" s="54">
        <f t="shared" si="14"/>
        <v>0</v>
      </c>
      <c r="I73" s="55">
        <f t="shared" si="14"/>
        <v>0</v>
      </c>
      <c r="J73" s="55">
        <f t="shared" si="14"/>
        <v>0</v>
      </c>
      <c r="K73" s="55"/>
      <c r="L73" s="54">
        <f>L70*L5</f>
        <v>0</v>
      </c>
      <c r="M73" s="55">
        <f>M70*M5</f>
        <v>0</v>
      </c>
      <c r="N73" s="54">
        <f t="shared" ref="N73:Z73" si="15">N70*N5</f>
        <v>0</v>
      </c>
      <c r="O73" s="54">
        <f t="shared" si="15"/>
        <v>0</v>
      </c>
      <c r="P73" s="54">
        <f t="shared" si="15"/>
        <v>0</v>
      </c>
      <c r="Q73" s="54">
        <f t="shared" si="15"/>
        <v>0</v>
      </c>
      <c r="R73" s="54">
        <f t="shared" si="15"/>
        <v>0</v>
      </c>
      <c r="S73" s="55">
        <f t="shared" si="15"/>
        <v>0</v>
      </c>
      <c r="T73" s="54">
        <f t="shared" si="15"/>
        <v>0</v>
      </c>
      <c r="U73" s="54">
        <f t="shared" si="15"/>
        <v>0</v>
      </c>
      <c r="V73" s="54">
        <f t="shared" si="15"/>
        <v>0</v>
      </c>
      <c r="W73" s="55">
        <f t="shared" si="15"/>
        <v>0</v>
      </c>
      <c r="X73" s="54">
        <f t="shared" si="15"/>
        <v>0</v>
      </c>
      <c r="Y73" s="55">
        <f t="shared" si="15"/>
        <v>0</v>
      </c>
      <c r="Z73" s="56">
        <f t="shared" si="15"/>
        <v>0</v>
      </c>
      <c r="AA73" s="57">
        <f>SUM(E73:Z73)</f>
        <v>1082955326.3908682</v>
      </c>
      <c r="AB73" s="77">
        <f t="shared" ref="AB73:AG73" si="16">AB70*AB5</f>
        <v>5255942.0200000005</v>
      </c>
      <c r="AC73" s="77">
        <f t="shared" si="16"/>
        <v>1174121.4333333333</v>
      </c>
      <c r="AD73" s="77">
        <f t="shared" si="16"/>
        <v>1804906.3199999998</v>
      </c>
      <c r="AE73" s="77">
        <f t="shared" si="16"/>
        <v>1310570.8</v>
      </c>
      <c r="AF73" s="77">
        <f t="shared" si="16"/>
        <v>3099552.5399999996</v>
      </c>
      <c r="AG73" s="77">
        <f t="shared" si="16"/>
        <v>1390700.6400000001</v>
      </c>
    </row>
    <row r="74" spans="1:33" ht="15.75" thickBot="1" x14ac:dyDescent="0.3">
      <c r="A74" s="20" t="s">
        <v>153</v>
      </c>
      <c r="B74" s="87" t="s">
        <v>38</v>
      </c>
      <c r="C74" s="22" t="s">
        <v>154</v>
      </c>
      <c r="D74" s="22" t="s">
        <v>155</v>
      </c>
      <c r="E74" s="23">
        <v>0</v>
      </c>
      <c r="F74" s="23">
        <v>0</v>
      </c>
      <c r="G74" s="23">
        <v>0</v>
      </c>
      <c r="H74" s="23">
        <v>0</v>
      </c>
      <c r="I74" s="24">
        <v>0</v>
      </c>
      <c r="J74" s="24">
        <v>0</v>
      </c>
      <c r="K74" s="24">
        <v>0</v>
      </c>
      <c r="L74" s="23">
        <v>0</v>
      </c>
      <c r="M74" s="24">
        <v>0</v>
      </c>
      <c r="N74" s="23">
        <v>1</v>
      </c>
      <c r="O74" s="23">
        <v>0</v>
      </c>
      <c r="P74" s="23">
        <v>0</v>
      </c>
      <c r="Q74" s="23">
        <v>0</v>
      </c>
      <c r="R74" s="23">
        <v>0</v>
      </c>
      <c r="S74" s="24">
        <v>0</v>
      </c>
      <c r="T74" s="23">
        <v>0</v>
      </c>
      <c r="U74" s="23">
        <v>0</v>
      </c>
      <c r="V74" s="23">
        <v>0</v>
      </c>
      <c r="W74" s="24">
        <v>0</v>
      </c>
      <c r="X74" s="23">
        <v>0</v>
      </c>
      <c r="Y74" s="24">
        <v>0</v>
      </c>
      <c r="Z74" s="25">
        <v>0</v>
      </c>
      <c r="AA74" s="3"/>
      <c r="AB74" s="26">
        <v>10</v>
      </c>
      <c r="AC74" s="26">
        <v>2</v>
      </c>
      <c r="AD74" s="26">
        <v>1</v>
      </c>
      <c r="AE74" s="26">
        <v>1</v>
      </c>
      <c r="AF74" s="26">
        <v>1</v>
      </c>
      <c r="AG74" s="26">
        <v>0</v>
      </c>
    </row>
    <row r="75" spans="1:33" ht="27.75" thickBot="1" x14ac:dyDescent="0.3">
      <c r="A75" s="28" t="s">
        <v>153</v>
      </c>
      <c r="B75" s="88" t="s">
        <v>156</v>
      </c>
      <c r="C75" s="30" t="s">
        <v>154</v>
      </c>
      <c r="D75" s="30" t="s">
        <v>155</v>
      </c>
      <c r="E75" s="31">
        <v>0</v>
      </c>
      <c r="F75" s="31">
        <v>4</v>
      </c>
      <c r="G75" s="31">
        <v>0</v>
      </c>
      <c r="H75" s="31">
        <v>0</v>
      </c>
      <c r="I75" s="32">
        <v>0</v>
      </c>
      <c r="J75" s="32">
        <v>0</v>
      </c>
      <c r="K75" s="24">
        <v>0</v>
      </c>
      <c r="L75" s="31">
        <v>0</v>
      </c>
      <c r="M75" s="32">
        <v>0</v>
      </c>
      <c r="N75" s="31">
        <v>1</v>
      </c>
      <c r="O75" s="31">
        <v>0</v>
      </c>
      <c r="P75" s="31">
        <v>1</v>
      </c>
      <c r="Q75" s="31">
        <v>0</v>
      </c>
      <c r="R75" s="31">
        <v>0</v>
      </c>
      <c r="S75" s="32">
        <v>0</v>
      </c>
      <c r="T75" s="31">
        <v>0</v>
      </c>
      <c r="U75" s="31">
        <v>0</v>
      </c>
      <c r="V75" s="31">
        <v>0</v>
      </c>
      <c r="W75" s="32">
        <v>0</v>
      </c>
      <c r="X75" s="31">
        <v>0</v>
      </c>
      <c r="Y75" s="32">
        <v>0</v>
      </c>
      <c r="Z75" s="33">
        <v>0</v>
      </c>
      <c r="AA75" s="3"/>
      <c r="AB75" s="26">
        <v>16</v>
      </c>
      <c r="AC75" s="26">
        <v>1</v>
      </c>
      <c r="AD75" s="26">
        <f>1-1</f>
        <v>0</v>
      </c>
      <c r="AE75" s="26">
        <v>1</v>
      </c>
      <c r="AF75" s="26">
        <v>0</v>
      </c>
      <c r="AG75" s="26">
        <v>2</v>
      </c>
    </row>
    <row r="76" spans="1:33" ht="27.75" thickBot="1" x14ac:dyDescent="0.3">
      <c r="A76" s="28" t="s">
        <v>153</v>
      </c>
      <c r="B76" s="88" t="s">
        <v>156</v>
      </c>
      <c r="C76" s="30" t="s">
        <v>157</v>
      </c>
      <c r="D76" s="30" t="s">
        <v>158</v>
      </c>
      <c r="E76" s="31">
        <v>0</v>
      </c>
      <c r="F76" s="31">
        <v>1</v>
      </c>
      <c r="G76" s="31">
        <v>0</v>
      </c>
      <c r="H76" s="31">
        <v>0</v>
      </c>
      <c r="I76" s="32">
        <v>0</v>
      </c>
      <c r="J76" s="32">
        <v>0</v>
      </c>
      <c r="K76" s="24">
        <v>0</v>
      </c>
      <c r="L76" s="31">
        <v>0</v>
      </c>
      <c r="M76" s="32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2">
        <v>0</v>
      </c>
      <c r="T76" s="31">
        <v>0</v>
      </c>
      <c r="U76" s="31">
        <v>0</v>
      </c>
      <c r="V76" s="31">
        <v>0</v>
      </c>
      <c r="W76" s="32">
        <v>0</v>
      </c>
      <c r="X76" s="31">
        <v>0</v>
      </c>
      <c r="Y76" s="32">
        <v>0</v>
      </c>
      <c r="Z76" s="33">
        <v>0</v>
      </c>
      <c r="AA76" s="3"/>
      <c r="AB76" s="26">
        <v>15</v>
      </c>
      <c r="AC76" s="26">
        <v>1</v>
      </c>
      <c r="AD76" s="26">
        <v>1</v>
      </c>
      <c r="AE76" s="26">
        <v>1</v>
      </c>
      <c r="AF76" s="26">
        <v>1</v>
      </c>
      <c r="AG76" s="26">
        <v>2</v>
      </c>
    </row>
    <row r="77" spans="1:33" ht="27.75" thickBot="1" x14ac:dyDescent="0.3">
      <c r="A77" s="28" t="s">
        <v>153</v>
      </c>
      <c r="B77" s="88" t="s">
        <v>156</v>
      </c>
      <c r="C77" s="30" t="s">
        <v>159</v>
      </c>
      <c r="D77" s="30" t="s">
        <v>160</v>
      </c>
      <c r="E77" s="31">
        <v>0</v>
      </c>
      <c r="F77" s="31">
        <v>4</v>
      </c>
      <c r="G77" s="31">
        <v>0</v>
      </c>
      <c r="H77" s="31">
        <v>0</v>
      </c>
      <c r="I77" s="32">
        <v>0</v>
      </c>
      <c r="J77" s="32">
        <v>0</v>
      </c>
      <c r="K77" s="24">
        <v>0</v>
      </c>
      <c r="L77" s="31">
        <v>0</v>
      </c>
      <c r="M77" s="32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2">
        <v>0</v>
      </c>
      <c r="T77" s="31">
        <v>0</v>
      </c>
      <c r="U77" s="31">
        <v>0</v>
      </c>
      <c r="V77" s="31">
        <v>0</v>
      </c>
      <c r="W77" s="32">
        <v>0</v>
      </c>
      <c r="X77" s="31">
        <v>0</v>
      </c>
      <c r="Y77" s="32">
        <v>0</v>
      </c>
      <c r="Z77" s="33">
        <v>0</v>
      </c>
      <c r="AA77" s="3"/>
      <c r="AB77" s="26">
        <v>10</v>
      </c>
      <c r="AC77" s="26">
        <v>0</v>
      </c>
      <c r="AD77" s="26">
        <v>1</v>
      </c>
      <c r="AE77" s="26">
        <v>0</v>
      </c>
      <c r="AF77" s="26">
        <v>0</v>
      </c>
      <c r="AG77" s="26">
        <v>1</v>
      </c>
    </row>
    <row r="78" spans="1:33" ht="27.75" thickBot="1" x14ac:dyDescent="0.3">
      <c r="A78" s="28" t="s">
        <v>153</v>
      </c>
      <c r="B78" s="89" t="s">
        <v>161</v>
      </c>
      <c r="C78" s="30" t="s">
        <v>162</v>
      </c>
      <c r="D78" s="30" t="s">
        <v>155</v>
      </c>
      <c r="E78" s="31">
        <v>1</v>
      </c>
      <c r="F78" s="31">
        <v>5</v>
      </c>
      <c r="G78" s="31">
        <v>1</v>
      </c>
      <c r="H78" s="31">
        <v>0</v>
      </c>
      <c r="I78" s="32">
        <v>0</v>
      </c>
      <c r="J78" s="32">
        <v>0</v>
      </c>
      <c r="K78" s="24">
        <v>0</v>
      </c>
      <c r="L78" s="31">
        <v>0</v>
      </c>
      <c r="M78" s="32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2">
        <v>0</v>
      </c>
      <c r="T78" s="31">
        <v>0</v>
      </c>
      <c r="U78" s="31">
        <v>0</v>
      </c>
      <c r="V78" s="31">
        <v>0</v>
      </c>
      <c r="W78" s="32">
        <v>0</v>
      </c>
      <c r="X78" s="31">
        <v>0</v>
      </c>
      <c r="Y78" s="32">
        <v>0</v>
      </c>
      <c r="Z78" s="33">
        <v>0</v>
      </c>
      <c r="AA78" s="3"/>
      <c r="AB78" s="26">
        <v>26</v>
      </c>
      <c r="AC78" s="26">
        <v>2</v>
      </c>
      <c r="AD78" s="26">
        <v>2</v>
      </c>
      <c r="AE78" s="26">
        <v>2</v>
      </c>
      <c r="AF78" s="26">
        <v>1</v>
      </c>
      <c r="AG78" s="26">
        <v>3</v>
      </c>
    </row>
    <row r="79" spans="1:33" ht="41.25" thickBot="1" x14ac:dyDescent="0.3">
      <c r="A79" s="62" t="s">
        <v>153</v>
      </c>
      <c r="B79" s="90" t="s">
        <v>163</v>
      </c>
      <c r="C79" s="64" t="s">
        <v>164</v>
      </c>
      <c r="D79" s="64" t="s">
        <v>155</v>
      </c>
      <c r="E79" s="65">
        <v>1</v>
      </c>
      <c r="F79" s="65">
        <v>4</v>
      </c>
      <c r="G79" s="65">
        <v>0</v>
      </c>
      <c r="H79" s="65">
        <v>0</v>
      </c>
      <c r="I79" s="66">
        <v>0</v>
      </c>
      <c r="J79" s="66">
        <v>0</v>
      </c>
      <c r="K79" s="24">
        <v>0</v>
      </c>
      <c r="L79" s="65">
        <v>0</v>
      </c>
      <c r="M79" s="66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6">
        <v>0</v>
      </c>
      <c r="T79" s="65">
        <v>0</v>
      </c>
      <c r="U79" s="65">
        <v>0</v>
      </c>
      <c r="V79" s="65">
        <v>0</v>
      </c>
      <c r="W79" s="66">
        <v>0</v>
      </c>
      <c r="X79" s="65">
        <v>0</v>
      </c>
      <c r="Y79" s="66">
        <v>0</v>
      </c>
      <c r="Z79" s="67">
        <v>0</v>
      </c>
      <c r="AA79" s="38">
        <f>AA83*7.5</f>
        <v>3293909518.8722525</v>
      </c>
      <c r="AB79" s="26">
        <v>13</v>
      </c>
      <c r="AC79" s="26">
        <v>0</v>
      </c>
      <c r="AD79" s="26">
        <v>1</v>
      </c>
      <c r="AE79" s="26">
        <v>1</v>
      </c>
      <c r="AF79" s="26">
        <v>1</v>
      </c>
      <c r="AG79" s="26">
        <v>1</v>
      </c>
    </row>
    <row r="80" spans="1:33" ht="15.75" thickBot="1" x14ac:dyDescent="0.3">
      <c r="A80" s="202" t="s">
        <v>94</v>
      </c>
      <c r="B80" s="203"/>
      <c r="C80" s="203"/>
      <c r="D80" s="204"/>
      <c r="E80" s="39">
        <f>SUM(E74:E79)</f>
        <v>2</v>
      </c>
      <c r="F80" s="40">
        <f t="shared" ref="F80:AG80" si="17">SUM(F74:F79)</f>
        <v>18</v>
      </c>
      <c r="G80" s="40">
        <f t="shared" si="17"/>
        <v>1</v>
      </c>
      <c r="H80" s="40">
        <f t="shared" si="17"/>
        <v>0</v>
      </c>
      <c r="I80" s="41">
        <f t="shared" si="17"/>
        <v>0</v>
      </c>
      <c r="J80" s="41">
        <f t="shared" si="17"/>
        <v>0</v>
      </c>
      <c r="K80" s="41"/>
      <c r="L80" s="40">
        <f t="shared" si="17"/>
        <v>0</v>
      </c>
      <c r="M80" s="41">
        <f t="shared" si="17"/>
        <v>0</v>
      </c>
      <c r="N80" s="40">
        <f t="shared" si="17"/>
        <v>2</v>
      </c>
      <c r="O80" s="40">
        <f t="shared" si="17"/>
        <v>0</v>
      </c>
      <c r="P80" s="40">
        <f t="shared" si="17"/>
        <v>1</v>
      </c>
      <c r="Q80" s="40">
        <f t="shared" si="17"/>
        <v>0</v>
      </c>
      <c r="R80" s="40">
        <f t="shared" si="17"/>
        <v>0</v>
      </c>
      <c r="S80" s="41">
        <f t="shared" si="17"/>
        <v>0</v>
      </c>
      <c r="T80" s="40">
        <f t="shared" si="17"/>
        <v>0</v>
      </c>
      <c r="U80" s="40">
        <f t="shared" si="17"/>
        <v>0</v>
      </c>
      <c r="V80" s="40">
        <f t="shared" si="17"/>
        <v>0</v>
      </c>
      <c r="W80" s="41">
        <f t="shared" si="17"/>
        <v>0</v>
      </c>
      <c r="X80" s="40">
        <f t="shared" si="17"/>
        <v>0</v>
      </c>
      <c r="Y80" s="41">
        <f t="shared" si="17"/>
        <v>0</v>
      </c>
      <c r="Z80" s="42">
        <f t="shared" si="17"/>
        <v>0</v>
      </c>
      <c r="AA80" s="43">
        <f>SUM(E80:Z80)</f>
        <v>24</v>
      </c>
      <c r="AB80" s="44">
        <f t="shared" si="17"/>
        <v>90</v>
      </c>
      <c r="AC80" s="44">
        <f t="shared" si="17"/>
        <v>6</v>
      </c>
      <c r="AD80" s="44">
        <f t="shared" si="17"/>
        <v>6</v>
      </c>
      <c r="AE80" s="44">
        <f t="shared" si="17"/>
        <v>6</v>
      </c>
      <c r="AF80" s="44">
        <f t="shared" si="17"/>
        <v>4</v>
      </c>
      <c r="AG80" s="44">
        <f t="shared" si="17"/>
        <v>9</v>
      </c>
    </row>
    <row r="81" spans="1:33" s="75" customFormat="1" ht="15.75" thickBot="1" x14ac:dyDescent="0.3">
      <c r="A81" s="68"/>
      <c r="B81" s="69"/>
      <c r="C81" s="69"/>
      <c r="D81" s="69"/>
      <c r="E81" s="70"/>
      <c r="F81" s="70"/>
      <c r="G81" s="70"/>
      <c r="H81" s="70"/>
      <c r="I81" s="71"/>
      <c r="J81" s="71"/>
      <c r="K81" s="71"/>
      <c r="L81" s="70"/>
      <c r="M81" s="71"/>
      <c r="N81" s="70"/>
      <c r="O81" s="70"/>
      <c r="P81" s="70"/>
      <c r="Q81" s="70"/>
      <c r="R81" s="70"/>
      <c r="S81" s="71"/>
      <c r="T81" s="70"/>
      <c r="U81" s="70"/>
      <c r="V81" s="70"/>
      <c r="W81" s="71"/>
      <c r="X81" s="70"/>
      <c r="Y81" s="71"/>
      <c r="Z81" s="72"/>
      <c r="AA81" s="73">
        <f>SUM(E81:Z81)</f>
        <v>0</v>
      </c>
      <c r="AB81" s="74"/>
      <c r="AC81" s="74"/>
      <c r="AD81" s="74"/>
      <c r="AE81" s="74"/>
      <c r="AF81" s="74"/>
      <c r="AG81" s="74"/>
    </row>
    <row r="82" spans="1:33" ht="15.75" thickBot="1" x14ac:dyDescent="0.3">
      <c r="A82" s="45"/>
      <c r="B82" s="199" t="s">
        <v>95</v>
      </c>
      <c r="C82" s="199"/>
      <c r="D82" s="46"/>
      <c r="E82" s="47"/>
      <c r="F82" s="47"/>
      <c r="G82" s="47"/>
      <c r="H82" s="47"/>
      <c r="I82" s="48"/>
      <c r="J82" s="48"/>
      <c r="K82" s="48"/>
      <c r="L82" s="47"/>
      <c r="M82" s="48"/>
      <c r="N82" s="47"/>
      <c r="O82" s="47"/>
      <c r="P82" s="47"/>
      <c r="Q82" s="47"/>
      <c r="R82" s="47"/>
      <c r="S82" s="48"/>
      <c r="T82" s="47"/>
      <c r="U82" s="47"/>
      <c r="V82" s="47"/>
      <c r="W82" s="48"/>
      <c r="X82" s="47"/>
      <c r="Y82" s="48"/>
      <c r="Z82" s="49"/>
      <c r="AA82" s="53">
        <f>SUM(E82:Z82)</f>
        <v>0</v>
      </c>
      <c r="AB82" s="74"/>
      <c r="AC82" s="74"/>
      <c r="AD82" s="74"/>
      <c r="AE82" s="74"/>
      <c r="AF82" s="74"/>
      <c r="AG82" s="74"/>
    </row>
    <row r="83" spans="1:33" ht="15.75" thickBot="1" x14ac:dyDescent="0.3">
      <c r="A83" s="205" t="s">
        <v>96</v>
      </c>
      <c r="B83" s="206"/>
      <c r="C83" s="206"/>
      <c r="D83" s="206"/>
      <c r="E83" s="54">
        <f t="shared" ref="E83:J83" si="18">E80*E5</f>
        <v>40082464.974090002</v>
      </c>
      <c r="F83" s="54">
        <f t="shared" si="18"/>
        <v>354183235.95286798</v>
      </c>
      <c r="G83" s="54">
        <f t="shared" si="18"/>
        <v>19676846.441826001</v>
      </c>
      <c r="H83" s="54">
        <f t="shared" si="18"/>
        <v>0</v>
      </c>
      <c r="I83" s="55">
        <f t="shared" si="18"/>
        <v>0</v>
      </c>
      <c r="J83" s="55">
        <f t="shared" si="18"/>
        <v>0</v>
      </c>
      <c r="K83" s="55"/>
      <c r="L83" s="54">
        <f>L80*L5</f>
        <v>0</v>
      </c>
      <c r="M83" s="55">
        <f>M80*M5</f>
        <v>0</v>
      </c>
      <c r="N83" s="54">
        <f t="shared" ref="N83:Z83" si="19">N80*N5</f>
        <v>19482796.959825154</v>
      </c>
      <c r="O83" s="54">
        <f t="shared" si="19"/>
        <v>0</v>
      </c>
      <c r="P83" s="54">
        <f t="shared" si="19"/>
        <v>5762591.5210246108</v>
      </c>
      <c r="Q83" s="54">
        <f t="shared" si="19"/>
        <v>0</v>
      </c>
      <c r="R83" s="54">
        <f t="shared" si="19"/>
        <v>0</v>
      </c>
      <c r="S83" s="55">
        <f t="shared" si="19"/>
        <v>0</v>
      </c>
      <c r="T83" s="54">
        <f t="shared" si="19"/>
        <v>0</v>
      </c>
      <c r="U83" s="54">
        <f t="shared" si="19"/>
        <v>0</v>
      </c>
      <c r="V83" s="54">
        <f t="shared" si="19"/>
        <v>0</v>
      </c>
      <c r="W83" s="55">
        <f t="shared" si="19"/>
        <v>0</v>
      </c>
      <c r="X83" s="54">
        <f t="shared" si="19"/>
        <v>0</v>
      </c>
      <c r="Y83" s="55">
        <f t="shared" si="19"/>
        <v>0</v>
      </c>
      <c r="Z83" s="56">
        <f t="shared" si="19"/>
        <v>0</v>
      </c>
      <c r="AA83" s="57">
        <f>SUM(E83:Z83)</f>
        <v>439187935.84963369</v>
      </c>
      <c r="AB83" s="77">
        <f t="shared" ref="AB83:AG83" si="20">AB80*AB5</f>
        <v>2718590.7</v>
      </c>
      <c r="AC83" s="77">
        <f t="shared" si="20"/>
        <v>704472.8600000001</v>
      </c>
      <c r="AD83" s="77">
        <f t="shared" si="20"/>
        <v>902453.15999999992</v>
      </c>
      <c r="AE83" s="77">
        <f t="shared" si="20"/>
        <v>655285.4</v>
      </c>
      <c r="AF83" s="77">
        <f t="shared" si="20"/>
        <v>1377578.9066666665</v>
      </c>
      <c r="AG83" s="77">
        <f t="shared" si="20"/>
        <v>1043025.48</v>
      </c>
    </row>
    <row r="84" spans="1:33" ht="27.75" thickBot="1" x14ac:dyDescent="0.3">
      <c r="A84" s="20" t="s">
        <v>165</v>
      </c>
      <c r="B84" s="87" t="s">
        <v>166</v>
      </c>
      <c r="C84" s="22" t="s">
        <v>167</v>
      </c>
      <c r="D84" s="22" t="s">
        <v>168</v>
      </c>
      <c r="E84" s="23">
        <v>0</v>
      </c>
      <c r="F84" s="23">
        <v>1</v>
      </c>
      <c r="G84" s="23">
        <v>0</v>
      </c>
      <c r="H84" s="23">
        <v>0</v>
      </c>
      <c r="I84" s="24">
        <v>0</v>
      </c>
      <c r="J84" s="24">
        <v>0</v>
      </c>
      <c r="K84" s="24">
        <v>0</v>
      </c>
      <c r="L84" s="23">
        <v>0</v>
      </c>
      <c r="M84" s="24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4">
        <v>0</v>
      </c>
      <c r="T84" s="23">
        <v>0</v>
      </c>
      <c r="U84" s="23">
        <v>0</v>
      </c>
      <c r="V84" s="23">
        <v>0</v>
      </c>
      <c r="W84" s="24">
        <v>0</v>
      </c>
      <c r="X84" s="23">
        <v>0</v>
      </c>
      <c r="Y84" s="24">
        <v>0</v>
      </c>
      <c r="Z84" s="25">
        <v>0</v>
      </c>
      <c r="AA84" s="3"/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</row>
    <row r="85" spans="1:33" ht="41.25" thickBot="1" x14ac:dyDescent="0.3">
      <c r="A85" s="28" t="s">
        <v>165</v>
      </c>
      <c r="B85" s="91" t="s">
        <v>169</v>
      </c>
      <c r="C85" s="30" t="s">
        <v>170</v>
      </c>
      <c r="D85" s="30" t="s">
        <v>168</v>
      </c>
      <c r="E85" s="31">
        <v>0</v>
      </c>
      <c r="F85" s="31">
        <v>6</v>
      </c>
      <c r="G85" s="31">
        <v>1</v>
      </c>
      <c r="H85" s="31">
        <v>0</v>
      </c>
      <c r="I85" s="32">
        <v>0</v>
      </c>
      <c r="J85" s="32">
        <v>0</v>
      </c>
      <c r="K85" s="24">
        <v>0</v>
      </c>
      <c r="L85" s="31">
        <v>0</v>
      </c>
      <c r="M85" s="32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2">
        <v>0</v>
      </c>
      <c r="T85" s="31">
        <v>0</v>
      </c>
      <c r="U85" s="31">
        <v>0</v>
      </c>
      <c r="V85" s="31">
        <v>0</v>
      </c>
      <c r="W85" s="32">
        <v>0</v>
      </c>
      <c r="X85" s="31">
        <v>0</v>
      </c>
      <c r="Y85" s="32">
        <v>0</v>
      </c>
      <c r="Z85" s="33">
        <v>0</v>
      </c>
      <c r="AA85" s="3"/>
      <c r="AB85" s="35">
        <v>40</v>
      </c>
      <c r="AC85" s="35">
        <v>5</v>
      </c>
      <c r="AD85" s="35">
        <v>2</v>
      </c>
      <c r="AE85" s="35">
        <v>2</v>
      </c>
      <c r="AF85" s="35">
        <v>1</v>
      </c>
      <c r="AG85" s="35">
        <v>7</v>
      </c>
    </row>
    <row r="86" spans="1:33" ht="27.75" thickBot="1" x14ac:dyDescent="0.3">
      <c r="A86" s="28" t="s">
        <v>165</v>
      </c>
      <c r="B86" s="91" t="s">
        <v>171</v>
      </c>
      <c r="C86" s="30" t="s">
        <v>172</v>
      </c>
      <c r="D86" s="30" t="s">
        <v>168</v>
      </c>
      <c r="E86" s="31">
        <v>0</v>
      </c>
      <c r="F86" s="31">
        <v>0</v>
      </c>
      <c r="G86" s="31">
        <v>0</v>
      </c>
      <c r="H86" s="31">
        <v>0</v>
      </c>
      <c r="I86" s="32">
        <v>0</v>
      </c>
      <c r="J86" s="32">
        <v>0</v>
      </c>
      <c r="K86" s="24">
        <v>0</v>
      </c>
      <c r="L86" s="31">
        <v>0</v>
      </c>
      <c r="M86" s="32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2">
        <v>0</v>
      </c>
      <c r="T86" s="31">
        <v>0</v>
      </c>
      <c r="U86" s="31">
        <v>0</v>
      </c>
      <c r="V86" s="31">
        <v>0</v>
      </c>
      <c r="W86" s="32">
        <v>0</v>
      </c>
      <c r="X86" s="31">
        <v>0</v>
      </c>
      <c r="Y86" s="32">
        <v>0</v>
      </c>
      <c r="Z86" s="33">
        <v>0</v>
      </c>
      <c r="AA86" s="3"/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</row>
    <row r="87" spans="1:33" ht="27.75" thickBot="1" x14ac:dyDescent="0.3">
      <c r="A87" s="28" t="s">
        <v>165</v>
      </c>
      <c r="B87" s="91" t="s">
        <v>171</v>
      </c>
      <c r="C87" s="30" t="s">
        <v>173</v>
      </c>
      <c r="D87" s="30" t="s">
        <v>174</v>
      </c>
      <c r="E87" s="31">
        <v>0</v>
      </c>
      <c r="F87" s="31">
        <v>3</v>
      </c>
      <c r="G87" s="31">
        <v>0</v>
      </c>
      <c r="H87" s="31">
        <v>0</v>
      </c>
      <c r="I87" s="32">
        <v>0</v>
      </c>
      <c r="J87" s="32">
        <v>0</v>
      </c>
      <c r="K87" s="24">
        <v>0</v>
      </c>
      <c r="L87" s="31">
        <v>0</v>
      </c>
      <c r="M87" s="32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2">
        <v>0</v>
      </c>
      <c r="T87" s="31">
        <v>0</v>
      </c>
      <c r="U87" s="31">
        <v>0</v>
      </c>
      <c r="V87" s="31">
        <v>0</v>
      </c>
      <c r="W87" s="32">
        <v>0</v>
      </c>
      <c r="X87" s="31">
        <v>0</v>
      </c>
      <c r="Y87" s="32">
        <v>0</v>
      </c>
      <c r="Z87" s="33">
        <v>0</v>
      </c>
      <c r="AA87" s="3"/>
      <c r="AB87" s="35">
        <v>13</v>
      </c>
      <c r="AC87" s="35">
        <v>3</v>
      </c>
      <c r="AD87" s="35">
        <v>1</v>
      </c>
      <c r="AE87" s="35">
        <v>1</v>
      </c>
      <c r="AF87" s="35">
        <v>1</v>
      </c>
      <c r="AG87" s="35">
        <v>3</v>
      </c>
    </row>
    <row r="88" spans="1:33" ht="27.75" thickBot="1" x14ac:dyDescent="0.3">
      <c r="A88" s="28" t="s">
        <v>165</v>
      </c>
      <c r="B88" s="91" t="s">
        <v>169</v>
      </c>
      <c r="C88" s="30" t="s">
        <v>175</v>
      </c>
      <c r="D88" s="30" t="s">
        <v>168</v>
      </c>
      <c r="E88" s="31">
        <v>0</v>
      </c>
      <c r="F88" s="31">
        <v>7</v>
      </c>
      <c r="G88" s="31">
        <v>0</v>
      </c>
      <c r="H88" s="31">
        <v>0</v>
      </c>
      <c r="I88" s="32">
        <v>0</v>
      </c>
      <c r="J88" s="32">
        <v>0</v>
      </c>
      <c r="K88" s="24">
        <v>0</v>
      </c>
      <c r="L88" s="31">
        <v>0</v>
      </c>
      <c r="M88" s="32">
        <v>0</v>
      </c>
      <c r="N88" s="31">
        <v>0</v>
      </c>
      <c r="O88" s="31">
        <v>2</v>
      </c>
      <c r="P88" s="31">
        <v>0</v>
      </c>
      <c r="Q88" s="31">
        <v>0</v>
      </c>
      <c r="R88" s="31">
        <v>0</v>
      </c>
      <c r="S88" s="32">
        <v>0</v>
      </c>
      <c r="T88" s="31">
        <v>2</v>
      </c>
      <c r="U88" s="31">
        <v>0</v>
      </c>
      <c r="V88" s="31">
        <v>0</v>
      </c>
      <c r="W88" s="32">
        <v>0</v>
      </c>
      <c r="X88" s="31">
        <v>0</v>
      </c>
      <c r="Y88" s="32">
        <v>0</v>
      </c>
      <c r="Z88" s="33">
        <v>0</v>
      </c>
      <c r="AA88" s="3"/>
      <c r="AB88" s="35">
        <v>26</v>
      </c>
      <c r="AC88" s="35">
        <v>4</v>
      </c>
      <c r="AD88" s="35">
        <v>2</v>
      </c>
      <c r="AE88" s="35">
        <v>2</v>
      </c>
      <c r="AF88" s="35">
        <v>1</v>
      </c>
      <c r="AG88" s="35">
        <v>4</v>
      </c>
    </row>
    <row r="89" spans="1:33" ht="15.75" thickBot="1" x14ac:dyDescent="0.3">
      <c r="A89" s="28" t="s">
        <v>165</v>
      </c>
      <c r="B89" s="91" t="s">
        <v>171</v>
      </c>
      <c r="C89" s="30" t="s">
        <v>176</v>
      </c>
      <c r="D89" s="30" t="s">
        <v>168</v>
      </c>
      <c r="E89" s="31">
        <v>0</v>
      </c>
      <c r="F89" s="31">
        <v>0</v>
      </c>
      <c r="G89" s="31">
        <v>0</v>
      </c>
      <c r="H89" s="31">
        <v>0</v>
      </c>
      <c r="I89" s="32">
        <v>0</v>
      </c>
      <c r="J89" s="32">
        <v>0</v>
      </c>
      <c r="K89" s="24">
        <v>0</v>
      </c>
      <c r="L89" s="31">
        <v>0</v>
      </c>
      <c r="M89" s="32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2">
        <v>0</v>
      </c>
      <c r="T89" s="31">
        <v>0</v>
      </c>
      <c r="U89" s="31">
        <v>0</v>
      </c>
      <c r="V89" s="31">
        <v>0</v>
      </c>
      <c r="W89" s="32">
        <v>0</v>
      </c>
      <c r="X89" s="31">
        <v>0</v>
      </c>
      <c r="Y89" s="32">
        <v>0</v>
      </c>
      <c r="Z89" s="33">
        <v>0</v>
      </c>
      <c r="AA89" s="3"/>
      <c r="AB89" s="35"/>
      <c r="AC89" s="35"/>
      <c r="AD89" s="35"/>
      <c r="AE89" s="35"/>
      <c r="AF89" s="35"/>
      <c r="AG89" s="35"/>
    </row>
    <row r="90" spans="1:33" ht="27.75" thickBot="1" x14ac:dyDescent="0.3">
      <c r="A90" s="28" t="s">
        <v>165</v>
      </c>
      <c r="B90" s="89" t="s">
        <v>169</v>
      </c>
      <c r="C90" s="30" t="s">
        <v>177</v>
      </c>
      <c r="D90" s="30" t="s">
        <v>168</v>
      </c>
      <c r="E90" s="31">
        <v>0</v>
      </c>
      <c r="F90" s="31">
        <v>2</v>
      </c>
      <c r="G90" s="31">
        <v>0</v>
      </c>
      <c r="H90" s="31">
        <v>0</v>
      </c>
      <c r="I90" s="32">
        <v>0</v>
      </c>
      <c r="J90" s="32">
        <v>0</v>
      </c>
      <c r="K90" s="24">
        <v>0</v>
      </c>
      <c r="L90" s="31">
        <v>0</v>
      </c>
      <c r="M90" s="32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2">
        <v>0</v>
      </c>
      <c r="T90" s="31">
        <v>0</v>
      </c>
      <c r="U90" s="31">
        <v>0</v>
      </c>
      <c r="V90" s="31">
        <v>0</v>
      </c>
      <c r="W90" s="32">
        <v>0</v>
      </c>
      <c r="X90" s="31">
        <v>0</v>
      </c>
      <c r="Y90" s="32">
        <v>0</v>
      </c>
      <c r="Z90" s="33">
        <v>0</v>
      </c>
      <c r="AA90" s="3"/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</row>
    <row r="91" spans="1:33" ht="27.75" thickBot="1" x14ac:dyDescent="0.3">
      <c r="A91" s="28" t="s">
        <v>165</v>
      </c>
      <c r="B91" s="91" t="s">
        <v>169</v>
      </c>
      <c r="C91" s="30" t="s">
        <v>178</v>
      </c>
      <c r="D91" s="30" t="s">
        <v>168</v>
      </c>
      <c r="E91" s="31">
        <v>0</v>
      </c>
      <c r="F91" s="31">
        <v>1</v>
      </c>
      <c r="G91" s="31">
        <v>0</v>
      </c>
      <c r="H91" s="31">
        <v>0</v>
      </c>
      <c r="I91" s="32">
        <v>0</v>
      </c>
      <c r="J91" s="32">
        <v>0</v>
      </c>
      <c r="K91" s="24">
        <v>0</v>
      </c>
      <c r="L91" s="31">
        <v>0</v>
      </c>
      <c r="M91" s="32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2">
        <v>0</v>
      </c>
      <c r="T91" s="31">
        <v>0</v>
      </c>
      <c r="U91" s="31">
        <v>0</v>
      </c>
      <c r="V91" s="31">
        <v>0</v>
      </c>
      <c r="W91" s="32">
        <v>0</v>
      </c>
      <c r="X91" s="31">
        <v>0</v>
      </c>
      <c r="Y91" s="32">
        <v>0</v>
      </c>
      <c r="Z91" s="33">
        <v>0</v>
      </c>
      <c r="AA91" s="3"/>
      <c r="AB91" s="35">
        <v>19</v>
      </c>
      <c r="AC91" s="35">
        <v>4</v>
      </c>
      <c r="AD91" s="35">
        <v>1</v>
      </c>
      <c r="AE91" s="35">
        <v>1</v>
      </c>
      <c r="AF91" s="35">
        <v>0</v>
      </c>
      <c r="AG91" s="35">
        <v>2</v>
      </c>
    </row>
    <row r="92" spans="1:33" ht="27.75" thickBot="1" x14ac:dyDescent="0.3">
      <c r="A92" s="28" t="s">
        <v>165</v>
      </c>
      <c r="B92" s="89" t="s">
        <v>179</v>
      </c>
      <c r="C92" s="30" t="s">
        <v>180</v>
      </c>
      <c r="D92" s="30" t="s">
        <v>181</v>
      </c>
      <c r="E92" s="31">
        <v>0</v>
      </c>
      <c r="F92" s="31">
        <v>1</v>
      </c>
      <c r="G92" s="31">
        <v>0</v>
      </c>
      <c r="H92" s="31">
        <v>0</v>
      </c>
      <c r="I92" s="32">
        <v>0</v>
      </c>
      <c r="J92" s="32">
        <v>0</v>
      </c>
      <c r="K92" s="24">
        <v>0</v>
      </c>
      <c r="L92" s="31">
        <v>0</v>
      </c>
      <c r="M92" s="32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2">
        <v>0</v>
      </c>
      <c r="T92" s="31">
        <v>0</v>
      </c>
      <c r="U92" s="31">
        <v>0</v>
      </c>
      <c r="V92" s="31">
        <v>0</v>
      </c>
      <c r="W92" s="32">
        <v>0</v>
      </c>
      <c r="X92" s="31">
        <v>0</v>
      </c>
      <c r="Y92" s="32">
        <v>0</v>
      </c>
      <c r="Z92" s="33">
        <v>0</v>
      </c>
      <c r="AA92" s="3"/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</row>
    <row r="93" spans="1:33" ht="15.75" thickBot="1" x14ac:dyDescent="0.3">
      <c r="A93" s="28" t="s">
        <v>165</v>
      </c>
      <c r="B93" s="89" t="s">
        <v>179</v>
      </c>
      <c r="C93" s="30" t="s">
        <v>182</v>
      </c>
      <c r="D93" s="30" t="s">
        <v>181</v>
      </c>
      <c r="E93" s="31">
        <v>0</v>
      </c>
      <c r="F93" s="31">
        <v>9</v>
      </c>
      <c r="G93" s="31">
        <v>1</v>
      </c>
      <c r="H93" s="31">
        <v>0</v>
      </c>
      <c r="I93" s="32">
        <v>0</v>
      </c>
      <c r="J93" s="32">
        <v>0</v>
      </c>
      <c r="K93" s="24">
        <v>0</v>
      </c>
      <c r="L93" s="31">
        <v>0</v>
      </c>
      <c r="M93" s="32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2">
        <v>0</v>
      </c>
      <c r="T93" s="31">
        <v>0</v>
      </c>
      <c r="U93" s="31">
        <v>0</v>
      </c>
      <c r="V93" s="31">
        <v>0</v>
      </c>
      <c r="W93" s="32">
        <v>0</v>
      </c>
      <c r="X93" s="31">
        <v>0</v>
      </c>
      <c r="Y93" s="32">
        <v>0</v>
      </c>
      <c r="Z93" s="33">
        <v>0</v>
      </c>
      <c r="AA93" s="3"/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</row>
    <row r="94" spans="1:33" ht="27.75" thickBot="1" x14ac:dyDescent="0.3">
      <c r="A94" s="28" t="s">
        <v>165</v>
      </c>
      <c r="B94" s="89" t="s">
        <v>183</v>
      </c>
      <c r="C94" s="30" t="s">
        <v>184</v>
      </c>
      <c r="D94" s="30" t="s">
        <v>185</v>
      </c>
      <c r="E94" s="31">
        <v>0</v>
      </c>
      <c r="F94" s="31">
        <v>1</v>
      </c>
      <c r="G94" s="31">
        <v>0</v>
      </c>
      <c r="H94" s="31">
        <v>0</v>
      </c>
      <c r="I94" s="32">
        <v>0</v>
      </c>
      <c r="J94" s="32">
        <v>0</v>
      </c>
      <c r="K94" s="24">
        <v>0</v>
      </c>
      <c r="L94" s="31">
        <v>0</v>
      </c>
      <c r="M94" s="32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2">
        <v>0</v>
      </c>
      <c r="T94" s="31">
        <v>0</v>
      </c>
      <c r="U94" s="31">
        <v>0</v>
      </c>
      <c r="V94" s="31">
        <v>0</v>
      </c>
      <c r="W94" s="32">
        <v>0</v>
      </c>
      <c r="X94" s="31">
        <v>0</v>
      </c>
      <c r="Y94" s="32">
        <v>0</v>
      </c>
      <c r="Z94" s="33">
        <v>0</v>
      </c>
      <c r="AA94" s="38">
        <f>AA99*7.5</f>
        <v>5315813250.1708784</v>
      </c>
      <c r="AB94" s="35">
        <v>6</v>
      </c>
      <c r="AC94" s="35">
        <v>0</v>
      </c>
      <c r="AD94" s="35">
        <v>1</v>
      </c>
      <c r="AE94" s="35">
        <v>1</v>
      </c>
      <c r="AF94" s="35">
        <v>0</v>
      </c>
      <c r="AG94" s="35">
        <v>1</v>
      </c>
    </row>
    <row r="95" spans="1:33" ht="27.75" thickBot="1" x14ac:dyDescent="0.3">
      <c r="A95" s="28" t="s">
        <v>165</v>
      </c>
      <c r="B95" s="89" t="s">
        <v>183</v>
      </c>
      <c r="C95" s="30" t="s">
        <v>186</v>
      </c>
      <c r="D95" s="30" t="s">
        <v>187</v>
      </c>
      <c r="E95" s="65">
        <v>0</v>
      </c>
      <c r="F95" s="65">
        <v>1</v>
      </c>
      <c r="G95" s="65">
        <v>0</v>
      </c>
      <c r="H95" s="65">
        <v>0</v>
      </c>
      <c r="I95" s="66">
        <v>0</v>
      </c>
      <c r="J95" s="66">
        <v>0</v>
      </c>
      <c r="K95" s="24">
        <v>0</v>
      </c>
      <c r="L95" s="65">
        <v>0</v>
      </c>
      <c r="M95" s="66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6">
        <v>0</v>
      </c>
      <c r="T95" s="65">
        <v>0</v>
      </c>
      <c r="U95" s="65">
        <v>0</v>
      </c>
      <c r="V95" s="65">
        <v>0</v>
      </c>
      <c r="W95" s="66">
        <v>0</v>
      </c>
      <c r="X95" s="65">
        <v>0</v>
      </c>
      <c r="Y95" s="66">
        <v>0</v>
      </c>
      <c r="Z95" s="67">
        <v>0</v>
      </c>
      <c r="AA95" s="3"/>
      <c r="AB95" s="92"/>
      <c r="AC95" s="92"/>
      <c r="AD95" s="92"/>
      <c r="AE95" s="92"/>
      <c r="AF95" s="92"/>
      <c r="AG95" s="92"/>
    </row>
    <row r="96" spans="1:33" ht="15.75" thickBot="1" x14ac:dyDescent="0.3">
      <c r="A96" s="202" t="s">
        <v>94</v>
      </c>
      <c r="B96" s="203"/>
      <c r="C96" s="203"/>
      <c r="D96" s="204"/>
      <c r="E96" s="39">
        <f>SUM(E84:E95)</f>
        <v>0</v>
      </c>
      <c r="F96" s="40">
        <f t="shared" ref="F96:AG96" si="21">SUM(F84:F95)</f>
        <v>32</v>
      </c>
      <c r="G96" s="40">
        <f t="shared" si="21"/>
        <v>2</v>
      </c>
      <c r="H96" s="40">
        <f t="shared" si="21"/>
        <v>0</v>
      </c>
      <c r="I96" s="41">
        <f t="shared" si="21"/>
        <v>0</v>
      </c>
      <c r="J96" s="41">
        <f t="shared" si="21"/>
        <v>0</v>
      </c>
      <c r="K96" s="41"/>
      <c r="L96" s="40">
        <f t="shared" si="21"/>
        <v>0</v>
      </c>
      <c r="M96" s="41">
        <f t="shared" si="21"/>
        <v>0</v>
      </c>
      <c r="N96" s="40">
        <f t="shared" si="21"/>
        <v>0</v>
      </c>
      <c r="O96" s="40">
        <f t="shared" si="21"/>
        <v>2</v>
      </c>
      <c r="P96" s="40">
        <f t="shared" si="21"/>
        <v>0</v>
      </c>
      <c r="Q96" s="40">
        <f t="shared" si="21"/>
        <v>0</v>
      </c>
      <c r="R96" s="40">
        <f t="shared" si="21"/>
        <v>0</v>
      </c>
      <c r="S96" s="41">
        <f t="shared" si="21"/>
        <v>0</v>
      </c>
      <c r="T96" s="40">
        <f t="shared" si="21"/>
        <v>2</v>
      </c>
      <c r="U96" s="40">
        <f t="shared" si="21"/>
        <v>0</v>
      </c>
      <c r="V96" s="40">
        <f t="shared" si="21"/>
        <v>0</v>
      </c>
      <c r="W96" s="41">
        <f t="shared" si="21"/>
        <v>0</v>
      </c>
      <c r="X96" s="40">
        <f t="shared" si="21"/>
        <v>0</v>
      </c>
      <c r="Y96" s="41">
        <f t="shared" si="21"/>
        <v>0</v>
      </c>
      <c r="Z96" s="42">
        <f t="shared" si="21"/>
        <v>0</v>
      </c>
      <c r="AA96" s="43">
        <f>SUM(E96:Z96)</f>
        <v>38</v>
      </c>
      <c r="AB96" s="44">
        <f t="shared" si="21"/>
        <v>104</v>
      </c>
      <c r="AC96" s="44">
        <f t="shared" si="21"/>
        <v>16</v>
      </c>
      <c r="AD96" s="44">
        <f t="shared" si="21"/>
        <v>7</v>
      </c>
      <c r="AE96" s="44">
        <f t="shared" si="21"/>
        <v>7</v>
      </c>
      <c r="AF96" s="44">
        <f t="shared" si="21"/>
        <v>3</v>
      </c>
      <c r="AG96" s="44">
        <f t="shared" si="21"/>
        <v>17</v>
      </c>
    </row>
    <row r="97" spans="1:33" s="75" customFormat="1" ht="15.75" thickBot="1" x14ac:dyDescent="0.3">
      <c r="A97" s="68"/>
      <c r="B97" s="69"/>
      <c r="C97" s="69"/>
      <c r="D97" s="69"/>
      <c r="E97" s="70"/>
      <c r="F97" s="70"/>
      <c r="G97" s="70"/>
      <c r="H97" s="70"/>
      <c r="I97" s="71"/>
      <c r="J97" s="71"/>
      <c r="K97" s="71"/>
      <c r="L97" s="70"/>
      <c r="M97" s="71"/>
      <c r="N97" s="70"/>
      <c r="O97" s="70"/>
      <c r="P97" s="70"/>
      <c r="Q97" s="70"/>
      <c r="R97" s="70"/>
      <c r="S97" s="71"/>
      <c r="T97" s="70"/>
      <c r="U97" s="70"/>
      <c r="V97" s="70"/>
      <c r="W97" s="71"/>
      <c r="X97" s="70"/>
      <c r="Y97" s="71"/>
      <c r="Z97" s="72"/>
      <c r="AA97" s="73">
        <f>SUM(E97:Z97)</f>
        <v>0</v>
      </c>
      <c r="AB97" s="74"/>
      <c r="AC97" s="74"/>
      <c r="AD97" s="74"/>
      <c r="AE97" s="74"/>
      <c r="AF97" s="74"/>
      <c r="AG97" s="74"/>
    </row>
    <row r="98" spans="1:33" ht="15.75" thickBot="1" x14ac:dyDescent="0.3">
      <c r="A98" s="45"/>
      <c r="B98" s="199" t="s">
        <v>95</v>
      </c>
      <c r="C98" s="199"/>
      <c r="D98" s="46"/>
      <c r="E98" s="47"/>
      <c r="F98" s="47"/>
      <c r="G98" s="47"/>
      <c r="H98" s="47"/>
      <c r="I98" s="48"/>
      <c r="J98" s="48"/>
      <c r="K98" s="48"/>
      <c r="L98" s="47"/>
      <c r="M98" s="48"/>
      <c r="N98" s="47"/>
      <c r="O98" s="47"/>
      <c r="P98" s="47"/>
      <c r="Q98" s="47"/>
      <c r="R98" s="47"/>
      <c r="S98" s="48"/>
      <c r="T98" s="47"/>
      <c r="U98" s="47"/>
      <c r="V98" s="47"/>
      <c r="W98" s="48"/>
      <c r="X98" s="47"/>
      <c r="Y98" s="48"/>
      <c r="Z98" s="49"/>
      <c r="AA98" s="53">
        <f>SUM(E98:Z98)</f>
        <v>0</v>
      </c>
      <c r="AB98" s="74"/>
      <c r="AC98" s="74"/>
      <c r="AD98" s="74"/>
      <c r="AE98" s="74"/>
      <c r="AF98" s="74"/>
      <c r="AG98" s="74"/>
    </row>
    <row r="99" spans="1:33" ht="15.75" thickBot="1" x14ac:dyDescent="0.3">
      <c r="A99" s="205" t="s">
        <v>96</v>
      </c>
      <c r="B99" s="206"/>
      <c r="C99" s="206"/>
      <c r="D99" s="206"/>
      <c r="E99" s="54">
        <f t="shared" ref="E99:J99" si="22">E96*E5</f>
        <v>0</v>
      </c>
      <c r="F99" s="54">
        <f t="shared" si="22"/>
        <v>629659086.13843203</v>
      </c>
      <c r="G99" s="54">
        <f t="shared" si="22"/>
        <v>39353692.883652002</v>
      </c>
      <c r="H99" s="54">
        <f t="shared" si="22"/>
        <v>0</v>
      </c>
      <c r="I99" s="55">
        <f t="shared" si="22"/>
        <v>0</v>
      </c>
      <c r="J99" s="55">
        <f t="shared" si="22"/>
        <v>0</v>
      </c>
      <c r="K99" s="55"/>
      <c r="L99" s="54">
        <f>L96*L5</f>
        <v>0</v>
      </c>
      <c r="M99" s="55">
        <f>M96*M5</f>
        <v>0</v>
      </c>
      <c r="N99" s="54">
        <f t="shared" ref="N99:Z99" si="23">N96*N5</f>
        <v>0</v>
      </c>
      <c r="O99" s="54">
        <f t="shared" si="23"/>
        <v>17287774.563073833</v>
      </c>
      <c r="P99" s="54">
        <f t="shared" si="23"/>
        <v>0</v>
      </c>
      <c r="Q99" s="54">
        <f t="shared" si="23"/>
        <v>0</v>
      </c>
      <c r="R99" s="54">
        <f t="shared" si="23"/>
        <v>0</v>
      </c>
      <c r="S99" s="55">
        <f t="shared" si="23"/>
        <v>0</v>
      </c>
      <c r="T99" s="54">
        <f t="shared" si="23"/>
        <v>22474546.437625911</v>
      </c>
      <c r="U99" s="54">
        <f t="shared" si="23"/>
        <v>0</v>
      </c>
      <c r="V99" s="54">
        <f t="shared" si="23"/>
        <v>0</v>
      </c>
      <c r="W99" s="55">
        <f t="shared" si="23"/>
        <v>0</v>
      </c>
      <c r="X99" s="54">
        <f t="shared" si="23"/>
        <v>0</v>
      </c>
      <c r="Y99" s="55">
        <f t="shared" si="23"/>
        <v>0</v>
      </c>
      <c r="Z99" s="56">
        <f t="shared" si="23"/>
        <v>0</v>
      </c>
      <c r="AA99" s="57">
        <f>SUM(E99:Z99)</f>
        <v>708775100.02278376</v>
      </c>
      <c r="AB99" s="77">
        <f t="shared" ref="AB99:AG99" si="24">AB96*AB5</f>
        <v>3141482.5866666669</v>
      </c>
      <c r="AC99" s="77">
        <f t="shared" si="24"/>
        <v>1878594.2933333335</v>
      </c>
      <c r="AD99" s="77">
        <f t="shared" si="24"/>
        <v>1052862.02</v>
      </c>
      <c r="AE99" s="77">
        <f t="shared" si="24"/>
        <v>764499.6333333333</v>
      </c>
      <c r="AF99" s="77">
        <f t="shared" si="24"/>
        <v>1033184.1799999999</v>
      </c>
      <c r="AG99" s="77">
        <f t="shared" si="24"/>
        <v>1970159.24</v>
      </c>
    </row>
    <row r="100" spans="1:33" ht="15.75" thickBot="1" x14ac:dyDescent="0.3">
      <c r="A100" s="20" t="s">
        <v>188</v>
      </c>
      <c r="B100" s="93" t="s">
        <v>98</v>
      </c>
      <c r="C100" s="22" t="s">
        <v>189</v>
      </c>
      <c r="D100" s="22" t="s">
        <v>190</v>
      </c>
      <c r="E100" s="94">
        <v>0</v>
      </c>
      <c r="F100" s="94">
        <v>1</v>
      </c>
      <c r="G100" s="94">
        <v>0</v>
      </c>
      <c r="H100" s="94">
        <v>0</v>
      </c>
      <c r="I100" s="95"/>
      <c r="J100" s="95">
        <v>0</v>
      </c>
      <c r="K100" s="24">
        <v>0</v>
      </c>
      <c r="L100" s="94">
        <v>0</v>
      </c>
      <c r="M100" s="95">
        <v>0</v>
      </c>
      <c r="N100" s="94">
        <v>0</v>
      </c>
      <c r="O100" s="94">
        <v>0</v>
      </c>
      <c r="P100" s="94">
        <v>0</v>
      </c>
      <c r="Q100" s="94">
        <v>0</v>
      </c>
      <c r="R100" s="94">
        <v>0</v>
      </c>
      <c r="S100" s="95">
        <v>0</v>
      </c>
      <c r="T100" s="94">
        <v>0</v>
      </c>
      <c r="U100" s="94">
        <v>0</v>
      </c>
      <c r="V100" s="94">
        <v>0</v>
      </c>
      <c r="W100" s="95">
        <v>0</v>
      </c>
      <c r="X100" s="94">
        <v>0</v>
      </c>
      <c r="Y100" s="95">
        <v>0</v>
      </c>
      <c r="Z100" s="96">
        <v>0</v>
      </c>
      <c r="AA100" s="3"/>
      <c r="AB100" s="26">
        <v>8</v>
      </c>
      <c r="AC100" s="26">
        <v>0</v>
      </c>
      <c r="AD100" s="26">
        <v>1</v>
      </c>
      <c r="AE100" s="26">
        <v>1</v>
      </c>
      <c r="AF100" s="26">
        <v>1</v>
      </c>
      <c r="AG100" s="26">
        <v>2</v>
      </c>
    </row>
    <row r="101" spans="1:33" ht="15.75" thickBot="1" x14ac:dyDescent="0.3">
      <c r="A101" s="28" t="s">
        <v>188</v>
      </c>
      <c r="B101" s="97" t="s">
        <v>38</v>
      </c>
      <c r="C101" s="30" t="s">
        <v>191</v>
      </c>
      <c r="D101" s="30" t="s">
        <v>190</v>
      </c>
      <c r="E101" s="98">
        <v>0</v>
      </c>
      <c r="F101" s="98">
        <v>1</v>
      </c>
      <c r="G101" s="98">
        <v>0</v>
      </c>
      <c r="H101" s="98">
        <v>0</v>
      </c>
      <c r="I101" s="99">
        <v>0</v>
      </c>
      <c r="J101" s="99">
        <v>0</v>
      </c>
      <c r="K101" s="24">
        <v>0</v>
      </c>
      <c r="L101" s="98">
        <v>0</v>
      </c>
      <c r="M101" s="99">
        <v>0</v>
      </c>
      <c r="N101" s="98">
        <v>0</v>
      </c>
      <c r="O101" s="98">
        <v>0</v>
      </c>
      <c r="P101" s="98">
        <v>1</v>
      </c>
      <c r="Q101" s="98">
        <v>0</v>
      </c>
      <c r="R101" s="98">
        <v>0</v>
      </c>
      <c r="S101" s="99">
        <v>0</v>
      </c>
      <c r="T101" s="98">
        <v>0</v>
      </c>
      <c r="U101" s="98">
        <v>0</v>
      </c>
      <c r="V101" s="98">
        <v>0</v>
      </c>
      <c r="W101" s="99">
        <v>0</v>
      </c>
      <c r="X101" s="98">
        <v>0</v>
      </c>
      <c r="Y101" s="99">
        <v>0</v>
      </c>
      <c r="Z101" s="100">
        <v>0</v>
      </c>
      <c r="AA101" s="3"/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</row>
    <row r="102" spans="1:33" ht="27.75" thickBot="1" x14ac:dyDescent="0.3">
      <c r="A102" s="28" t="s">
        <v>188</v>
      </c>
      <c r="B102" s="30" t="s">
        <v>38</v>
      </c>
      <c r="C102" s="30" t="s">
        <v>192</v>
      </c>
      <c r="D102" s="30" t="s">
        <v>190</v>
      </c>
      <c r="E102" s="98">
        <v>0</v>
      </c>
      <c r="F102" s="98">
        <v>0</v>
      </c>
      <c r="G102" s="98">
        <v>0</v>
      </c>
      <c r="H102" s="98">
        <v>0</v>
      </c>
      <c r="I102" s="99">
        <v>0</v>
      </c>
      <c r="J102" s="99">
        <v>0</v>
      </c>
      <c r="K102" s="24">
        <v>0</v>
      </c>
      <c r="L102" s="98">
        <v>0</v>
      </c>
      <c r="M102" s="99">
        <v>0</v>
      </c>
      <c r="N102" s="98">
        <v>0</v>
      </c>
      <c r="O102" s="98">
        <v>0</v>
      </c>
      <c r="P102" s="98">
        <v>0</v>
      </c>
      <c r="Q102" s="98">
        <v>0</v>
      </c>
      <c r="R102" s="98">
        <v>0</v>
      </c>
      <c r="S102" s="99">
        <v>0</v>
      </c>
      <c r="T102" s="98">
        <v>0</v>
      </c>
      <c r="U102" s="98">
        <v>0</v>
      </c>
      <c r="V102" s="98">
        <v>0</v>
      </c>
      <c r="W102" s="99">
        <v>0</v>
      </c>
      <c r="X102" s="98">
        <v>0</v>
      </c>
      <c r="Y102" s="99">
        <v>0</v>
      </c>
      <c r="Z102" s="100">
        <v>0</v>
      </c>
      <c r="AA102" s="3"/>
      <c r="AB102" s="26"/>
      <c r="AC102" s="26"/>
      <c r="AD102" s="26"/>
      <c r="AE102" s="26"/>
      <c r="AF102" s="26"/>
      <c r="AG102" s="26"/>
    </row>
    <row r="103" spans="1:33" ht="27.75" thickBot="1" x14ac:dyDescent="0.3">
      <c r="A103" s="28" t="s">
        <v>188</v>
      </c>
      <c r="B103" s="101" t="s">
        <v>193</v>
      </c>
      <c r="C103" s="30" t="s">
        <v>194</v>
      </c>
      <c r="D103" s="30" t="s">
        <v>190</v>
      </c>
      <c r="E103" s="98">
        <v>0</v>
      </c>
      <c r="F103" s="98">
        <v>3</v>
      </c>
      <c r="G103" s="98">
        <v>1</v>
      </c>
      <c r="H103" s="98">
        <v>0</v>
      </c>
      <c r="I103" s="99">
        <v>0</v>
      </c>
      <c r="J103" s="99">
        <v>0</v>
      </c>
      <c r="K103" s="24">
        <v>0</v>
      </c>
      <c r="L103" s="98">
        <v>0</v>
      </c>
      <c r="M103" s="99">
        <v>0</v>
      </c>
      <c r="N103" s="98">
        <v>2</v>
      </c>
      <c r="O103" s="98">
        <v>0</v>
      </c>
      <c r="P103" s="98">
        <v>0</v>
      </c>
      <c r="Q103" s="98">
        <v>0</v>
      </c>
      <c r="R103" s="98">
        <v>0</v>
      </c>
      <c r="S103" s="99">
        <v>0</v>
      </c>
      <c r="T103" s="98">
        <v>0</v>
      </c>
      <c r="U103" s="98">
        <v>0</v>
      </c>
      <c r="V103" s="98">
        <v>0</v>
      </c>
      <c r="W103" s="99">
        <v>0</v>
      </c>
      <c r="X103" s="98">
        <v>0</v>
      </c>
      <c r="Y103" s="99">
        <v>0</v>
      </c>
      <c r="Z103" s="100">
        <v>0</v>
      </c>
      <c r="AA103" s="3"/>
      <c r="AB103" s="26">
        <v>29</v>
      </c>
      <c r="AC103" s="26">
        <v>3</v>
      </c>
      <c r="AD103" s="26">
        <v>1</v>
      </c>
      <c r="AE103" s="26">
        <v>1</v>
      </c>
      <c r="AF103" s="26">
        <v>1</v>
      </c>
      <c r="AG103" s="26">
        <v>2</v>
      </c>
    </row>
    <row r="104" spans="1:33" ht="27.75" thickBot="1" x14ac:dyDescent="0.3">
      <c r="A104" s="28" t="s">
        <v>188</v>
      </c>
      <c r="B104" s="101" t="s">
        <v>193</v>
      </c>
      <c r="C104" s="30" t="s">
        <v>195</v>
      </c>
      <c r="D104" s="30" t="s">
        <v>196</v>
      </c>
      <c r="E104" s="98">
        <v>0</v>
      </c>
      <c r="F104" s="102">
        <v>1</v>
      </c>
      <c r="G104" s="102">
        <v>0</v>
      </c>
      <c r="H104" s="102">
        <v>0</v>
      </c>
      <c r="I104" s="99">
        <v>0</v>
      </c>
      <c r="J104" s="99">
        <v>0</v>
      </c>
      <c r="K104" s="24">
        <v>0</v>
      </c>
      <c r="L104" s="102">
        <v>0</v>
      </c>
      <c r="M104" s="99">
        <v>0</v>
      </c>
      <c r="N104" s="98">
        <v>0</v>
      </c>
      <c r="O104" s="98">
        <v>0</v>
      </c>
      <c r="P104" s="98">
        <v>1</v>
      </c>
      <c r="Q104" s="98">
        <v>0</v>
      </c>
      <c r="R104" s="98">
        <v>0</v>
      </c>
      <c r="S104" s="99">
        <v>0</v>
      </c>
      <c r="T104" s="98">
        <v>0</v>
      </c>
      <c r="U104" s="102">
        <v>0</v>
      </c>
      <c r="V104" s="102">
        <v>0</v>
      </c>
      <c r="W104" s="99">
        <v>0</v>
      </c>
      <c r="X104" s="98">
        <v>0</v>
      </c>
      <c r="Y104" s="99">
        <v>0</v>
      </c>
      <c r="Z104" s="100">
        <v>0</v>
      </c>
      <c r="AA104" s="3"/>
      <c r="AB104" s="35">
        <v>7</v>
      </c>
      <c r="AC104" s="35">
        <v>1</v>
      </c>
      <c r="AD104" s="35">
        <v>1</v>
      </c>
      <c r="AE104" s="35">
        <v>1</v>
      </c>
      <c r="AF104" s="35">
        <v>0</v>
      </c>
      <c r="AG104" s="35">
        <v>0</v>
      </c>
    </row>
    <row r="105" spans="1:33" ht="27.75" thickBot="1" x14ac:dyDescent="0.3">
      <c r="A105" s="28" t="s">
        <v>188</v>
      </c>
      <c r="B105" s="101" t="s">
        <v>197</v>
      </c>
      <c r="C105" s="30" t="s">
        <v>198</v>
      </c>
      <c r="D105" s="30" t="s">
        <v>190</v>
      </c>
      <c r="E105" s="98">
        <v>1</v>
      </c>
      <c r="F105" s="98">
        <v>1</v>
      </c>
      <c r="G105" s="98">
        <v>0</v>
      </c>
      <c r="H105" s="98">
        <v>0</v>
      </c>
      <c r="I105" s="99">
        <v>0</v>
      </c>
      <c r="J105" s="99">
        <v>0</v>
      </c>
      <c r="K105" s="24">
        <v>0</v>
      </c>
      <c r="L105" s="98">
        <v>0</v>
      </c>
      <c r="M105" s="99">
        <v>0</v>
      </c>
      <c r="N105" s="98">
        <v>0</v>
      </c>
      <c r="O105" s="98">
        <v>0</v>
      </c>
      <c r="P105" s="98">
        <v>0</v>
      </c>
      <c r="Q105" s="98">
        <v>0</v>
      </c>
      <c r="R105" s="98">
        <v>0</v>
      </c>
      <c r="S105" s="99">
        <v>0</v>
      </c>
      <c r="T105" s="98">
        <v>0</v>
      </c>
      <c r="U105" s="98">
        <v>0</v>
      </c>
      <c r="V105" s="98">
        <v>0</v>
      </c>
      <c r="W105" s="99">
        <v>0</v>
      </c>
      <c r="X105" s="98">
        <v>0</v>
      </c>
      <c r="Y105" s="99">
        <v>0</v>
      </c>
      <c r="Z105" s="100">
        <v>0</v>
      </c>
      <c r="AA105" s="3"/>
      <c r="AB105" s="26">
        <v>10</v>
      </c>
      <c r="AC105" s="26">
        <v>1</v>
      </c>
      <c r="AD105" s="26">
        <v>1</v>
      </c>
      <c r="AE105" s="26">
        <v>1</v>
      </c>
      <c r="AF105" s="26">
        <v>1</v>
      </c>
      <c r="AG105" s="26">
        <v>2</v>
      </c>
    </row>
    <row r="106" spans="1:33" ht="30.6" customHeight="1" thickBot="1" x14ac:dyDescent="0.3">
      <c r="A106" s="28" t="s">
        <v>188</v>
      </c>
      <c r="B106" s="101" t="s">
        <v>197</v>
      </c>
      <c r="C106" s="30" t="s">
        <v>199</v>
      </c>
      <c r="D106" s="30" t="s">
        <v>190</v>
      </c>
      <c r="E106" s="103">
        <v>0</v>
      </c>
      <c r="F106" s="103">
        <v>1</v>
      </c>
      <c r="G106" s="103">
        <v>0</v>
      </c>
      <c r="H106" s="103">
        <v>0</v>
      </c>
      <c r="I106" s="104">
        <v>0</v>
      </c>
      <c r="J106" s="104">
        <v>0</v>
      </c>
      <c r="K106" s="105">
        <v>0</v>
      </c>
      <c r="L106" s="103">
        <v>0</v>
      </c>
      <c r="M106" s="104">
        <v>0</v>
      </c>
      <c r="N106" s="103">
        <v>0</v>
      </c>
      <c r="O106" s="103">
        <v>0</v>
      </c>
      <c r="P106" s="103">
        <v>0</v>
      </c>
      <c r="Q106" s="103">
        <v>0</v>
      </c>
      <c r="R106" s="103">
        <v>0</v>
      </c>
      <c r="S106" s="104">
        <v>0</v>
      </c>
      <c r="T106" s="103">
        <v>0</v>
      </c>
      <c r="U106" s="103">
        <v>0</v>
      </c>
      <c r="V106" s="103">
        <v>0</v>
      </c>
      <c r="W106" s="104">
        <v>0</v>
      </c>
      <c r="X106" s="103">
        <v>0</v>
      </c>
      <c r="Y106" s="104">
        <v>0</v>
      </c>
      <c r="Z106" s="106">
        <v>0</v>
      </c>
      <c r="AA106" s="3"/>
      <c r="AB106" s="107">
        <v>4</v>
      </c>
      <c r="AC106" s="107">
        <v>0</v>
      </c>
      <c r="AD106" s="107">
        <v>1</v>
      </c>
      <c r="AE106" s="107">
        <v>1</v>
      </c>
      <c r="AF106" s="107">
        <v>0</v>
      </c>
      <c r="AG106" s="107">
        <v>1</v>
      </c>
    </row>
    <row r="107" spans="1:33" ht="17.45" customHeight="1" thickBot="1" x14ac:dyDescent="0.3">
      <c r="A107" s="28" t="s">
        <v>188</v>
      </c>
      <c r="B107" s="30" t="s">
        <v>197</v>
      </c>
      <c r="C107" s="30" t="s">
        <v>200</v>
      </c>
      <c r="D107" s="30" t="s">
        <v>201</v>
      </c>
      <c r="E107" s="108">
        <v>0</v>
      </c>
      <c r="F107" s="109">
        <v>0</v>
      </c>
      <c r="G107" s="109">
        <v>0</v>
      </c>
      <c r="H107" s="109">
        <v>0</v>
      </c>
      <c r="I107" s="110">
        <v>0</v>
      </c>
      <c r="J107" s="110">
        <v>0</v>
      </c>
      <c r="K107" s="111">
        <v>0</v>
      </c>
      <c r="L107" s="109">
        <v>0</v>
      </c>
      <c r="M107" s="110">
        <v>0</v>
      </c>
      <c r="N107" s="108">
        <v>0</v>
      </c>
      <c r="O107" s="108">
        <v>0</v>
      </c>
      <c r="P107" s="108">
        <v>0</v>
      </c>
      <c r="Q107" s="108">
        <v>0</v>
      </c>
      <c r="R107" s="108">
        <v>0</v>
      </c>
      <c r="S107" s="110">
        <v>0</v>
      </c>
      <c r="T107" s="108">
        <v>0</v>
      </c>
      <c r="U107" s="109">
        <v>0</v>
      </c>
      <c r="V107" s="109">
        <v>0</v>
      </c>
      <c r="W107" s="110">
        <v>0</v>
      </c>
      <c r="X107" s="108">
        <v>0</v>
      </c>
      <c r="Y107" s="110">
        <v>0</v>
      </c>
      <c r="Z107" s="112">
        <v>0</v>
      </c>
      <c r="AA107" s="3"/>
      <c r="AB107" s="113">
        <v>6</v>
      </c>
      <c r="AC107" s="113">
        <v>1</v>
      </c>
      <c r="AD107" s="113">
        <v>1</v>
      </c>
      <c r="AE107" s="113">
        <v>1</v>
      </c>
      <c r="AF107" s="113">
        <v>0</v>
      </c>
      <c r="AG107" s="113">
        <v>0</v>
      </c>
    </row>
    <row r="108" spans="1:33" ht="15.75" thickBot="1" x14ac:dyDescent="0.3">
      <c r="A108" s="28" t="s">
        <v>188</v>
      </c>
      <c r="B108" s="114" t="s">
        <v>202</v>
      </c>
      <c r="C108" s="30" t="s">
        <v>203</v>
      </c>
      <c r="D108" s="30" t="s">
        <v>190</v>
      </c>
      <c r="E108" s="98">
        <v>0</v>
      </c>
      <c r="F108" s="102">
        <v>1</v>
      </c>
      <c r="G108" s="102">
        <v>0</v>
      </c>
      <c r="H108" s="102">
        <v>0</v>
      </c>
      <c r="I108" s="99">
        <v>0</v>
      </c>
      <c r="J108" s="99">
        <v>0</v>
      </c>
      <c r="K108" s="24">
        <v>0</v>
      </c>
      <c r="L108" s="102">
        <v>0</v>
      </c>
      <c r="M108" s="99">
        <v>0</v>
      </c>
      <c r="N108" s="98">
        <v>0</v>
      </c>
      <c r="O108" s="98">
        <v>0</v>
      </c>
      <c r="P108" s="98">
        <v>0</v>
      </c>
      <c r="Q108" s="98">
        <v>0</v>
      </c>
      <c r="R108" s="98">
        <v>0</v>
      </c>
      <c r="S108" s="99">
        <v>0</v>
      </c>
      <c r="T108" s="98">
        <v>0</v>
      </c>
      <c r="U108" s="102">
        <v>0</v>
      </c>
      <c r="V108" s="102">
        <v>0</v>
      </c>
      <c r="W108" s="99">
        <v>0</v>
      </c>
      <c r="X108" s="98">
        <v>0</v>
      </c>
      <c r="Y108" s="99">
        <v>0</v>
      </c>
      <c r="Z108" s="100">
        <v>0</v>
      </c>
      <c r="AA108" s="3"/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</row>
    <row r="109" spans="1:33" ht="15.75" thickBot="1" x14ac:dyDescent="0.3">
      <c r="A109" s="28" t="s">
        <v>188</v>
      </c>
      <c r="B109" s="114" t="s">
        <v>202</v>
      </c>
      <c r="C109" s="30" t="s">
        <v>203</v>
      </c>
      <c r="D109" s="30" t="s">
        <v>190</v>
      </c>
      <c r="E109" s="98">
        <v>0</v>
      </c>
      <c r="F109" s="98">
        <v>13</v>
      </c>
      <c r="G109" s="98">
        <v>1</v>
      </c>
      <c r="H109" s="98">
        <v>2</v>
      </c>
      <c r="I109" s="99">
        <v>0</v>
      </c>
      <c r="J109" s="99">
        <v>0</v>
      </c>
      <c r="K109" s="24">
        <v>0</v>
      </c>
      <c r="L109" s="98">
        <v>1</v>
      </c>
      <c r="M109" s="99">
        <v>0</v>
      </c>
      <c r="N109" s="98">
        <v>0</v>
      </c>
      <c r="O109" s="98">
        <v>0</v>
      </c>
      <c r="P109" s="98">
        <v>0</v>
      </c>
      <c r="Q109" s="98">
        <v>0</v>
      </c>
      <c r="R109" s="98">
        <v>0</v>
      </c>
      <c r="S109" s="99">
        <v>0</v>
      </c>
      <c r="T109" s="98">
        <v>0</v>
      </c>
      <c r="U109" s="98">
        <v>1</v>
      </c>
      <c r="V109" s="98">
        <v>0</v>
      </c>
      <c r="W109" s="99">
        <v>0</v>
      </c>
      <c r="X109" s="98">
        <v>0</v>
      </c>
      <c r="Y109" s="99">
        <v>0</v>
      </c>
      <c r="Z109" s="100">
        <v>0</v>
      </c>
      <c r="AA109" s="3"/>
      <c r="AB109" s="26">
        <v>102</v>
      </c>
      <c r="AC109" s="26">
        <v>15</v>
      </c>
      <c r="AD109" s="26">
        <v>6</v>
      </c>
      <c r="AE109" s="26">
        <v>6</v>
      </c>
      <c r="AF109" s="26">
        <v>0</v>
      </c>
      <c r="AG109" s="26">
        <v>12</v>
      </c>
    </row>
    <row r="110" spans="1:33" ht="27.75" thickBot="1" x14ac:dyDescent="0.3">
      <c r="A110" s="28" t="s">
        <v>188</v>
      </c>
      <c r="B110" s="114" t="s">
        <v>204</v>
      </c>
      <c r="C110" s="30" t="s">
        <v>205</v>
      </c>
      <c r="D110" s="30" t="s">
        <v>206</v>
      </c>
      <c r="E110" s="98">
        <v>0</v>
      </c>
      <c r="F110" s="98">
        <v>2</v>
      </c>
      <c r="G110" s="98">
        <v>0</v>
      </c>
      <c r="H110" s="98">
        <v>0</v>
      </c>
      <c r="I110" s="99">
        <v>0</v>
      </c>
      <c r="J110" s="99">
        <v>0</v>
      </c>
      <c r="K110" s="24">
        <v>0</v>
      </c>
      <c r="L110" s="98">
        <v>0</v>
      </c>
      <c r="M110" s="99">
        <v>0</v>
      </c>
      <c r="N110" s="98">
        <v>0</v>
      </c>
      <c r="O110" s="98">
        <v>0</v>
      </c>
      <c r="P110" s="98">
        <v>0</v>
      </c>
      <c r="Q110" s="98">
        <v>0</v>
      </c>
      <c r="R110" s="98">
        <v>0</v>
      </c>
      <c r="S110" s="99">
        <v>0</v>
      </c>
      <c r="T110" s="98">
        <v>0</v>
      </c>
      <c r="U110" s="98">
        <v>0</v>
      </c>
      <c r="V110" s="98">
        <v>0</v>
      </c>
      <c r="W110" s="99">
        <v>0</v>
      </c>
      <c r="X110" s="98">
        <v>0</v>
      </c>
      <c r="Y110" s="99">
        <v>0</v>
      </c>
      <c r="Z110" s="100">
        <v>0</v>
      </c>
      <c r="AA110" s="38">
        <f>AA115*7.5</f>
        <v>4819399909.4204416</v>
      </c>
      <c r="AB110" s="26">
        <v>14</v>
      </c>
      <c r="AC110" s="26">
        <v>2</v>
      </c>
      <c r="AD110" s="26">
        <v>1</v>
      </c>
      <c r="AE110" s="26">
        <v>1</v>
      </c>
      <c r="AF110" s="26">
        <v>0</v>
      </c>
      <c r="AG110" s="26">
        <v>0</v>
      </c>
    </row>
    <row r="111" spans="1:33" ht="15.75" thickBot="1" x14ac:dyDescent="0.3">
      <c r="A111" s="62" t="s">
        <v>188</v>
      </c>
      <c r="B111" s="115" t="s">
        <v>204</v>
      </c>
      <c r="C111" s="64" t="s">
        <v>207</v>
      </c>
      <c r="D111" s="64" t="s">
        <v>208</v>
      </c>
      <c r="E111" s="116">
        <v>0</v>
      </c>
      <c r="F111" s="117">
        <v>1</v>
      </c>
      <c r="G111" s="117">
        <v>0</v>
      </c>
      <c r="H111" s="117">
        <v>0</v>
      </c>
      <c r="I111" s="118">
        <v>0</v>
      </c>
      <c r="J111" s="118">
        <v>0</v>
      </c>
      <c r="K111" s="24">
        <v>0</v>
      </c>
      <c r="L111" s="117">
        <v>0</v>
      </c>
      <c r="M111" s="118">
        <v>0</v>
      </c>
      <c r="N111" s="116">
        <v>0</v>
      </c>
      <c r="O111" s="116">
        <v>0</v>
      </c>
      <c r="P111" s="116">
        <v>0</v>
      </c>
      <c r="Q111" s="116">
        <v>0</v>
      </c>
      <c r="R111" s="116">
        <v>0</v>
      </c>
      <c r="S111" s="118">
        <v>0</v>
      </c>
      <c r="T111" s="116">
        <v>0</v>
      </c>
      <c r="U111" s="117">
        <v>0</v>
      </c>
      <c r="V111" s="117">
        <v>0</v>
      </c>
      <c r="W111" s="118">
        <v>0</v>
      </c>
      <c r="X111" s="116">
        <v>0</v>
      </c>
      <c r="Y111" s="118">
        <v>0</v>
      </c>
      <c r="Z111" s="119">
        <v>0</v>
      </c>
      <c r="AA111" s="3"/>
      <c r="AB111" s="35">
        <v>6</v>
      </c>
      <c r="AC111" s="35">
        <v>1</v>
      </c>
      <c r="AD111" s="35">
        <v>1</v>
      </c>
      <c r="AE111" s="35">
        <v>1</v>
      </c>
      <c r="AF111" s="35">
        <v>0</v>
      </c>
      <c r="AG111" s="35">
        <v>0</v>
      </c>
    </row>
    <row r="112" spans="1:33" ht="15.75" thickBot="1" x14ac:dyDescent="0.3">
      <c r="A112" s="202" t="s">
        <v>94</v>
      </c>
      <c r="B112" s="203"/>
      <c r="C112" s="203"/>
      <c r="D112" s="204"/>
      <c r="E112" s="39">
        <f>SUM(E100:E111)</f>
        <v>1</v>
      </c>
      <c r="F112" s="40">
        <f t="shared" ref="F112:AG112" si="25">SUM(F100:F111)</f>
        <v>25</v>
      </c>
      <c r="G112" s="40">
        <f t="shared" si="25"/>
        <v>2</v>
      </c>
      <c r="H112" s="40">
        <f t="shared" si="25"/>
        <v>2</v>
      </c>
      <c r="I112" s="41">
        <f t="shared" si="25"/>
        <v>0</v>
      </c>
      <c r="J112" s="41">
        <f t="shared" si="25"/>
        <v>0</v>
      </c>
      <c r="K112" s="41"/>
      <c r="L112" s="40">
        <f t="shared" si="25"/>
        <v>1</v>
      </c>
      <c r="M112" s="41">
        <f t="shared" si="25"/>
        <v>0</v>
      </c>
      <c r="N112" s="40">
        <f t="shared" si="25"/>
        <v>2</v>
      </c>
      <c r="O112" s="40">
        <f t="shared" si="25"/>
        <v>0</v>
      </c>
      <c r="P112" s="40">
        <f t="shared" si="25"/>
        <v>2</v>
      </c>
      <c r="Q112" s="40">
        <f t="shared" si="25"/>
        <v>0</v>
      </c>
      <c r="R112" s="40">
        <f t="shared" si="25"/>
        <v>0</v>
      </c>
      <c r="S112" s="41">
        <f t="shared" si="25"/>
        <v>0</v>
      </c>
      <c r="T112" s="40">
        <f t="shared" si="25"/>
        <v>0</v>
      </c>
      <c r="U112" s="40">
        <f t="shared" si="25"/>
        <v>1</v>
      </c>
      <c r="V112" s="40">
        <f t="shared" si="25"/>
        <v>0</v>
      </c>
      <c r="W112" s="41">
        <f t="shared" si="25"/>
        <v>0</v>
      </c>
      <c r="X112" s="40">
        <f t="shared" si="25"/>
        <v>0</v>
      </c>
      <c r="Y112" s="41">
        <f t="shared" si="25"/>
        <v>0</v>
      </c>
      <c r="Z112" s="42">
        <f t="shared" si="25"/>
        <v>0</v>
      </c>
      <c r="AA112" s="43">
        <f>SUM(E112:Z112)</f>
        <v>36</v>
      </c>
      <c r="AB112" s="44">
        <f t="shared" si="25"/>
        <v>186</v>
      </c>
      <c r="AC112" s="44">
        <f t="shared" si="25"/>
        <v>24</v>
      </c>
      <c r="AD112" s="44">
        <f t="shared" si="25"/>
        <v>14</v>
      </c>
      <c r="AE112" s="44">
        <f t="shared" si="25"/>
        <v>14</v>
      </c>
      <c r="AF112" s="44">
        <f t="shared" si="25"/>
        <v>3</v>
      </c>
      <c r="AG112" s="44">
        <f t="shared" si="25"/>
        <v>19</v>
      </c>
    </row>
    <row r="113" spans="1:33" s="75" customFormat="1" ht="15.75" thickBot="1" x14ac:dyDescent="0.3">
      <c r="A113" s="68"/>
      <c r="B113" s="69"/>
      <c r="C113" s="69"/>
      <c r="D113" s="69"/>
      <c r="E113" s="70"/>
      <c r="F113" s="70"/>
      <c r="G113" s="70"/>
      <c r="H113" s="70"/>
      <c r="I113" s="71"/>
      <c r="J113" s="71"/>
      <c r="K113" s="71"/>
      <c r="L113" s="70"/>
      <c r="M113" s="71"/>
      <c r="N113" s="70"/>
      <c r="O113" s="70"/>
      <c r="P113" s="70"/>
      <c r="Q113" s="70"/>
      <c r="R113" s="70"/>
      <c r="S113" s="71"/>
      <c r="T113" s="70"/>
      <c r="U113" s="70"/>
      <c r="V113" s="70"/>
      <c r="W113" s="71"/>
      <c r="X113" s="70"/>
      <c r="Y113" s="71"/>
      <c r="Z113" s="72"/>
      <c r="AA113" s="73">
        <f>SUM(E113:Z113)</f>
        <v>0</v>
      </c>
      <c r="AB113" s="74"/>
      <c r="AC113" s="74"/>
      <c r="AD113" s="74"/>
      <c r="AE113" s="74"/>
      <c r="AF113" s="74"/>
      <c r="AG113" s="74"/>
    </row>
    <row r="114" spans="1:33" ht="15.75" thickBot="1" x14ac:dyDescent="0.3">
      <c r="A114" s="45"/>
      <c r="B114" s="199" t="s">
        <v>95</v>
      </c>
      <c r="C114" s="199"/>
      <c r="D114" s="46"/>
      <c r="E114" s="47"/>
      <c r="F114" s="47"/>
      <c r="G114" s="47"/>
      <c r="H114" s="47"/>
      <c r="I114" s="48"/>
      <c r="J114" s="48"/>
      <c r="K114" s="48"/>
      <c r="L114" s="47"/>
      <c r="M114" s="48"/>
      <c r="N114" s="47"/>
      <c r="O114" s="47"/>
      <c r="P114" s="47"/>
      <c r="Q114" s="47"/>
      <c r="R114" s="47"/>
      <c r="S114" s="48"/>
      <c r="T114" s="47"/>
      <c r="U114" s="47"/>
      <c r="V114" s="47"/>
      <c r="W114" s="48"/>
      <c r="X114" s="47"/>
      <c r="Y114" s="48"/>
      <c r="Z114" s="49"/>
      <c r="AA114" s="53">
        <f>SUM(E114:Z114)</f>
        <v>0</v>
      </c>
      <c r="AB114" s="74"/>
      <c r="AC114" s="74"/>
      <c r="AD114" s="74"/>
      <c r="AE114" s="74"/>
      <c r="AF114" s="74"/>
      <c r="AG114" s="74"/>
    </row>
    <row r="115" spans="1:33" ht="15.75" thickBot="1" x14ac:dyDescent="0.3">
      <c r="A115" s="205" t="s">
        <v>96</v>
      </c>
      <c r="B115" s="206"/>
      <c r="C115" s="206"/>
      <c r="D115" s="206"/>
      <c r="E115" s="54">
        <f t="shared" ref="E115:J115" si="26">E112*E5</f>
        <v>20041232.487045001</v>
      </c>
      <c r="F115" s="54">
        <f t="shared" si="26"/>
        <v>491921161.04565001</v>
      </c>
      <c r="G115" s="54">
        <f t="shared" si="26"/>
        <v>39353692.883652002</v>
      </c>
      <c r="H115" s="54">
        <f t="shared" si="26"/>
        <v>40446851.019308999</v>
      </c>
      <c r="I115" s="55">
        <f t="shared" si="26"/>
        <v>0</v>
      </c>
      <c r="J115" s="55">
        <f t="shared" si="26"/>
        <v>0</v>
      </c>
      <c r="K115" s="55"/>
      <c r="L115" s="54">
        <f>L112*L5</f>
        <v>12176748.099890722</v>
      </c>
      <c r="M115" s="55">
        <f>M112*M5</f>
        <v>0</v>
      </c>
      <c r="N115" s="54">
        <f t="shared" ref="N115:Z115" si="27">N112*N5</f>
        <v>19482796.959825154</v>
      </c>
      <c r="O115" s="54">
        <f t="shared" si="27"/>
        <v>0</v>
      </c>
      <c r="P115" s="54">
        <f t="shared" si="27"/>
        <v>11525183.042049222</v>
      </c>
      <c r="Q115" s="54">
        <f t="shared" si="27"/>
        <v>0</v>
      </c>
      <c r="R115" s="54">
        <f t="shared" si="27"/>
        <v>0</v>
      </c>
      <c r="S115" s="55">
        <f t="shared" si="27"/>
        <v>0</v>
      </c>
      <c r="T115" s="54">
        <f t="shared" si="27"/>
        <v>0</v>
      </c>
      <c r="U115" s="54">
        <f t="shared" si="27"/>
        <v>7638989.0519711161</v>
      </c>
      <c r="V115" s="54">
        <f t="shared" si="27"/>
        <v>0</v>
      </c>
      <c r="W115" s="55">
        <f t="shared" si="27"/>
        <v>0</v>
      </c>
      <c r="X115" s="54">
        <f t="shared" si="27"/>
        <v>0</v>
      </c>
      <c r="Y115" s="55">
        <f t="shared" si="27"/>
        <v>0</v>
      </c>
      <c r="Z115" s="56">
        <f t="shared" si="27"/>
        <v>0</v>
      </c>
      <c r="AA115" s="57">
        <f>SUM(E115:Z115)</f>
        <v>642586654.58939219</v>
      </c>
      <c r="AB115" s="77">
        <f t="shared" ref="AB115:AG115" si="28">AB112*AB5</f>
        <v>5618420.7800000003</v>
      </c>
      <c r="AC115" s="77">
        <f t="shared" si="28"/>
        <v>2817891.4400000004</v>
      </c>
      <c r="AD115" s="77">
        <f t="shared" si="28"/>
        <v>2105724.04</v>
      </c>
      <c r="AE115" s="77">
        <f t="shared" si="28"/>
        <v>1528999.2666666666</v>
      </c>
      <c r="AF115" s="77">
        <f t="shared" si="28"/>
        <v>1033184.1799999999</v>
      </c>
      <c r="AG115" s="77">
        <f t="shared" si="28"/>
        <v>2201942.6800000002</v>
      </c>
    </row>
    <row r="116" spans="1:33" ht="27.75" thickBot="1" x14ac:dyDescent="0.3">
      <c r="A116" s="20" t="s">
        <v>209</v>
      </c>
      <c r="B116" s="120" t="s">
        <v>210</v>
      </c>
      <c r="C116" s="121" t="s">
        <v>211</v>
      </c>
      <c r="D116" s="121" t="s">
        <v>212</v>
      </c>
      <c r="E116" s="23">
        <v>0</v>
      </c>
      <c r="F116" s="23">
        <v>1</v>
      </c>
      <c r="G116" s="23">
        <v>0</v>
      </c>
      <c r="H116" s="23">
        <v>0</v>
      </c>
      <c r="I116" s="24">
        <v>0</v>
      </c>
      <c r="J116" s="24">
        <v>0</v>
      </c>
      <c r="K116" s="24">
        <v>0</v>
      </c>
      <c r="L116" s="23">
        <v>0</v>
      </c>
      <c r="M116" s="24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4">
        <v>0</v>
      </c>
      <c r="T116" s="23">
        <v>0</v>
      </c>
      <c r="U116" s="23">
        <v>0</v>
      </c>
      <c r="V116" s="23">
        <v>0</v>
      </c>
      <c r="W116" s="24">
        <v>0</v>
      </c>
      <c r="X116" s="23">
        <v>0</v>
      </c>
      <c r="Y116" s="24">
        <v>0</v>
      </c>
      <c r="Z116" s="25">
        <v>0</v>
      </c>
      <c r="AA116" s="3"/>
      <c r="AB116" s="26">
        <v>28</v>
      </c>
      <c r="AC116" s="26">
        <v>2</v>
      </c>
      <c r="AD116" s="26">
        <v>1</v>
      </c>
      <c r="AE116" s="26">
        <v>1</v>
      </c>
      <c r="AF116" s="26">
        <v>1</v>
      </c>
      <c r="AG116" s="26">
        <v>0</v>
      </c>
    </row>
    <row r="117" spans="1:33" ht="27.75" thickBot="1" x14ac:dyDescent="0.3">
      <c r="A117" s="28" t="s">
        <v>209</v>
      </c>
      <c r="B117" s="122" t="s">
        <v>210</v>
      </c>
      <c r="C117" s="123" t="s">
        <v>213</v>
      </c>
      <c r="D117" s="123" t="s">
        <v>212</v>
      </c>
      <c r="E117" s="31">
        <v>0</v>
      </c>
      <c r="F117" s="31">
        <v>2</v>
      </c>
      <c r="G117" s="31">
        <v>0</v>
      </c>
      <c r="H117" s="31">
        <v>0</v>
      </c>
      <c r="I117" s="32">
        <v>0</v>
      </c>
      <c r="J117" s="32">
        <v>0</v>
      </c>
      <c r="K117" s="24">
        <v>0</v>
      </c>
      <c r="L117" s="31">
        <v>0</v>
      </c>
      <c r="M117" s="32">
        <v>0</v>
      </c>
      <c r="N117" s="31">
        <v>2</v>
      </c>
      <c r="O117" s="31">
        <v>0</v>
      </c>
      <c r="P117" s="31">
        <v>0</v>
      </c>
      <c r="Q117" s="31">
        <v>0</v>
      </c>
      <c r="R117" s="31">
        <v>0</v>
      </c>
      <c r="S117" s="32">
        <v>0</v>
      </c>
      <c r="T117" s="31">
        <v>0</v>
      </c>
      <c r="U117" s="31">
        <v>0</v>
      </c>
      <c r="V117" s="31">
        <v>0</v>
      </c>
      <c r="W117" s="32">
        <v>0</v>
      </c>
      <c r="X117" s="31">
        <v>0</v>
      </c>
      <c r="Y117" s="32">
        <v>0</v>
      </c>
      <c r="Z117" s="33">
        <v>0</v>
      </c>
      <c r="AA117" s="3"/>
      <c r="AB117" s="26">
        <v>8</v>
      </c>
      <c r="AC117" s="26">
        <v>1</v>
      </c>
      <c r="AD117" s="26">
        <v>1</v>
      </c>
      <c r="AE117" s="26">
        <v>1</v>
      </c>
      <c r="AF117" s="26"/>
      <c r="AG117" s="26">
        <v>1</v>
      </c>
    </row>
    <row r="118" spans="1:33" ht="27.75" thickBot="1" x14ac:dyDescent="0.3">
      <c r="A118" s="28" t="s">
        <v>209</v>
      </c>
      <c r="B118" s="122" t="s">
        <v>210</v>
      </c>
      <c r="C118" s="123" t="s">
        <v>214</v>
      </c>
      <c r="D118" s="123" t="s">
        <v>212</v>
      </c>
      <c r="E118" s="31">
        <v>0</v>
      </c>
      <c r="F118" s="31">
        <v>0</v>
      </c>
      <c r="G118" s="31">
        <v>0</v>
      </c>
      <c r="H118" s="31">
        <v>0</v>
      </c>
      <c r="I118" s="32">
        <v>0</v>
      </c>
      <c r="J118" s="32">
        <v>0</v>
      </c>
      <c r="K118" s="24">
        <v>0</v>
      </c>
      <c r="L118" s="31">
        <v>0</v>
      </c>
      <c r="M118" s="32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2">
        <v>0</v>
      </c>
      <c r="T118" s="31">
        <v>0</v>
      </c>
      <c r="U118" s="31">
        <v>0</v>
      </c>
      <c r="V118" s="31">
        <v>0</v>
      </c>
      <c r="W118" s="32">
        <v>0</v>
      </c>
      <c r="X118" s="31">
        <v>1</v>
      </c>
      <c r="Y118" s="32">
        <v>0</v>
      </c>
      <c r="Z118" s="33">
        <v>0</v>
      </c>
      <c r="AA118" s="3"/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</row>
    <row r="119" spans="1:33" ht="41.25" thickBot="1" x14ac:dyDescent="0.3">
      <c r="A119" s="28" t="s">
        <v>209</v>
      </c>
      <c r="B119" s="122" t="s">
        <v>210</v>
      </c>
      <c r="C119" s="123" t="s">
        <v>215</v>
      </c>
      <c r="D119" s="123" t="s">
        <v>212</v>
      </c>
      <c r="E119" s="31">
        <v>0</v>
      </c>
      <c r="F119" s="31">
        <v>0</v>
      </c>
      <c r="G119" s="31">
        <v>0</v>
      </c>
      <c r="H119" s="31">
        <v>0</v>
      </c>
      <c r="I119" s="32">
        <v>0</v>
      </c>
      <c r="J119" s="32">
        <v>0</v>
      </c>
      <c r="K119" s="24">
        <v>0</v>
      </c>
      <c r="L119" s="31">
        <v>0</v>
      </c>
      <c r="M119" s="32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2">
        <v>0</v>
      </c>
      <c r="T119" s="31">
        <v>0</v>
      </c>
      <c r="U119" s="31">
        <v>0</v>
      </c>
      <c r="V119" s="31">
        <v>0</v>
      </c>
      <c r="W119" s="32">
        <v>0</v>
      </c>
      <c r="X119" s="31">
        <v>0</v>
      </c>
      <c r="Y119" s="32">
        <v>0</v>
      </c>
      <c r="Z119" s="33">
        <v>0</v>
      </c>
      <c r="AA119" s="3"/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</row>
    <row r="120" spans="1:33" ht="27.75" thickBot="1" x14ac:dyDescent="0.3">
      <c r="A120" s="28" t="s">
        <v>209</v>
      </c>
      <c r="B120" s="122" t="s">
        <v>210</v>
      </c>
      <c r="C120" s="123" t="s">
        <v>216</v>
      </c>
      <c r="D120" s="123" t="s">
        <v>212</v>
      </c>
      <c r="E120" s="31">
        <v>0</v>
      </c>
      <c r="F120" s="31">
        <v>1</v>
      </c>
      <c r="G120" s="31">
        <v>0</v>
      </c>
      <c r="H120" s="31">
        <v>0</v>
      </c>
      <c r="I120" s="32">
        <v>0</v>
      </c>
      <c r="J120" s="32">
        <v>0</v>
      </c>
      <c r="K120" s="24">
        <v>0</v>
      </c>
      <c r="L120" s="31">
        <v>0</v>
      </c>
      <c r="M120" s="32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2">
        <v>0</v>
      </c>
      <c r="T120" s="31">
        <v>0</v>
      </c>
      <c r="U120" s="31">
        <v>0</v>
      </c>
      <c r="V120" s="31">
        <v>0</v>
      </c>
      <c r="W120" s="32">
        <v>0</v>
      </c>
      <c r="X120" s="31">
        <v>0</v>
      </c>
      <c r="Y120" s="32">
        <v>0</v>
      </c>
      <c r="Z120" s="33">
        <v>0</v>
      </c>
      <c r="AA120" s="3"/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</row>
    <row r="121" spans="1:33" ht="27.75" thickBot="1" x14ac:dyDescent="0.3">
      <c r="A121" s="28" t="s">
        <v>209</v>
      </c>
      <c r="B121" s="122" t="s">
        <v>210</v>
      </c>
      <c r="C121" s="123" t="s">
        <v>217</v>
      </c>
      <c r="D121" s="123" t="s">
        <v>212</v>
      </c>
      <c r="E121" s="31">
        <v>0</v>
      </c>
      <c r="F121" s="31">
        <v>0</v>
      </c>
      <c r="G121" s="31">
        <v>0</v>
      </c>
      <c r="H121" s="31">
        <v>0</v>
      </c>
      <c r="I121" s="32">
        <v>0</v>
      </c>
      <c r="J121" s="32">
        <v>0</v>
      </c>
      <c r="K121" s="24">
        <v>0</v>
      </c>
      <c r="L121" s="31">
        <v>0</v>
      </c>
      <c r="M121" s="32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2">
        <v>0</v>
      </c>
      <c r="T121" s="31">
        <v>0</v>
      </c>
      <c r="U121" s="31">
        <v>0</v>
      </c>
      <c r="V121" s="31">
        <v>0</v>
      </c>
      <c r="W121" s="32">
        <v>0</v>
      </c>
      <c r="X121" s="31">
        <v>0</v>
      </c>
      <c r="Y121" s="32">
        <v>0</v>
      </c>
      <c r="Z121" s="33">
        <v>0</v>
      </c>
      <c r="AA121" s="38">
        <f>AA126*7.5</f>
        <v>918578268.64331138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</row>
    <row r="122" spans="1:33" ht="27.75" thickBot="1" x14ac:dyDescent="0.3">
      <c r="A122" s="62" t="s">
        <v>209</v>
      </c>
      <c r="B122" s="124" t="s">
        <v>210</v>
      </c>
      <c r="C122" s="125" t="s">
        <v>218</v>
      </c>
      <c r="D122" s="125" t="s">
        <v>219</v>
      </c>
      <c r="E122" s="65">
        <v>0</v>
      </c>
      <c r="F122" s="65">
        <v>1</v>
      </c>
      <c r="G122" s="65">
        <v>0</v>
      </c>
      <c r="H122" s="65">
        <v>0</v>
      </c>
      <c r="I122" s="66">
        <v>0</v>
      </c>
      <c r="J122" s="66">
        <v>0</v>
      </c>
      <c r="K122" s="24">
        <v>0</v>
      </c>
      <c r="L122" s="65">
        <v>0</v>
      </c>
      <c r="M122" s="66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6">
        <v>0</v>
      </c>
      <c r="T122" s="65">
        <v>0</v>
      </c>
      <c r="U122" s="65">
        <v>0</v>
      </c>
      <c r="V122" s="65">
        <v>0</v>
      </c>
      <c r="W122" s="66">
        <v>0</v>
      </c>
      <c r="X122" s="65">
        <v>0</v>
      </c>
      <c r="Y122" s="66">
        <v>0</v>
      </c>
      <c r="Z122" s="67">
        <v>0</v>
      </c>
      <c r="AA122" s="3"/>
      <c r="AB122" s="26">
        <v>15</v>
      </c>
      <c r="AC122" s="26">
        <v>5</v>
      </c>
      <c r="AD122" s="26">
        <v>3</v>
      </c>
      <c r="AE122" s="26">
        <v>2</v>
      </c>
      <c r="AF122" s="26">
        <v>1</v>
      </c>
      <c r="AG122" s="26">
        <v>8</v>
      </c>
    </row>
    <row r="123" spans="1:33" ht="15.75" thickBot="1" x14ac:dyDescent="0.3">
      <c r="A123" s="202" t="s">
        <v>94</v>
      </c>
      <c r="B123" s="203"/>
      <c r="C123" s="203"/>
      <c r="D123" s="204"/>
      <c r="E123" s="39">
        <f>SUM(E116:E122)</f>
        <v>0</v>
      </c>
      <c r="F123" s="40">
        <f t="shared" ref="F123:AG123" si="29">SUM(F116:F122)</f>
        <v>5</v>
      </c>
      <c r="G123" s="40">
        <f t="shared" si="29"/>
        <v>0</v>
      </c>
      <c r="H123" s="40">
        <f t="shared" si="29"/>
        <v>0</v>
      </c>
      <c r="I123" s="41">
        <f t="shared" si="29"/>
        <v>0</v>
      </c>
      <c r="J123" s="41">
        <f t="shared" si="29"/>
        <v>0</v>
      </c>
      <c r="K123" s="41"/>
      <c r="L123" s="40">
        <f t="shared" si="29"/>
        <v>0</v>
      </c>
      <c r="M123" s="41">
        <f t="shared" si="29"/>
        <v>0</v>
      </c>
      <c r="N123" s="40">
        <f t="shared" si="29"/>
        <v>2</v>
      </c>
      <c r="O123" s="40">
        <f t="shared" si="29"/>
        <v>0</v>
      </c>
      <c r="P123" s="40">
        <f t="shared" si="29"/>
        <v>0</v>
      </c>
      <c r="Q123" s="40">
        <f t="shared" si="29"/>
        <v>0</v>
      </c>
      <c r="R123" s="40">
        <f t="shared" si="29"/>
        <v>0</v>
      </c>
      <c r="S123" s="41">
        <f t="shared" si="29"/>
        <v>0</v>
      </c>
      <c r="T123" s="40">
        <f t="shared" si="29"/>
        <v>0</v>
      </c>
      <c r="U123" s="40">
        <f t="shared" si="29"/>
        <v>0</v>
      </c>
      <c r="V123" s="40">
        <f t="shared" si="29"/>
        <v>0</v>
      </c>
      <c r="W123" s="41">
        <f t="shared" si="29"/>
        <v>0</v>
      </c>
      <c r="X123" s="40">
        <f t="shared" si="29"/>
        <v>1</v>
      </c>
      <c r="Y123" s="41">
        <f t="shared" si="29"/>
        <v>0</v>
      </c>
      <c r="Z123" s="42">
        <f t="shared" si="29"/>
        <v>0</v>
      </c>
      <c r="AA123" s="43">
        <f>SUM(E123:Z123)</f>
        <v>8</v>
      </c>
      <c r="AB123" s="44">
        <f t="shared" si="29"/>
        <v>51</v>
      </c>
      <c r="AC123" s="44">
        <f t="shared" si="29"/>
        <v>8</v>
      </c>
      <c r="AD123" s="44">
        <f t="shared" si="29"/>
        <v>5</v>
      </c>
      <c r="AE123" s="44">
        <f t="shared" si="29"/>
        <v>4</v>
      </c>
      <c r="AF123" s="44">
        <f t="shared" si="29"/>
        <v>2</v>
      </c>
      <c r="AG123" s="44">
        <f t="shared" si="29"/>
        <v>9</v>
      </c>
    </row>
    <row r="124" spans="1:33" s="75" customFormat="1" ht="15.75" thickBot="1" x14ac:dyDescent="0.3">
      <c r="A124" s="68"/>
      <c r="B124" s="69"/>
      <c r="C124" s="69"/>
      <c r="D124" s="69"/>
      <c r="E124" s="70"/>
      <c r="F124" s="70"/>
      <c r="G124" s="70"/>
      <c r="H124" s="70"/>
      <c r="I124" s="71"/>
      <c r="J124" s="71"/>
      <c r="K124" s="71"/>
      <c r="L124" s="70"/>
      <c r="M124" s="71"/>
      <c r="N124" s="70"/>
      <c r="O124" s="70"/>
      <c r="P124" s="70"/>
      <c r="Q124" s="70"/>
      <c r="R124" s="70"/>
      <c r="S124" s="71"/>
      <c r="T124" s="70"/>
      <c r="U124" s="70"/>
      <c r="V124" s="70"/>
      <c r="W124" s="71"/>
      <c r="X124" s="70"/>
      <c r="Y124" s="71"/>
      <c r="Z124" s="72"/>
      <c r="AA124" s="73">
        <f>SUM(E124:Z124)</f>
        <v>0</v>
      </c>
      <c r="AB124" s="74"/>
      <c r="AC124" s="74"/>
      <c r="AD124" s="74"/>
      <c r="AE124" s="74"/>
      <c r="AF124" s="74"/>
      <c r="AG124" s="74"/>
    </row>
    <row r="125" spans="1:33" ht="15.75" thickBot="1" x14ac:dyDescent="0.3">
      <c r="A125" s="45"/>
      <c r="B125" s="199" t="s">
        <v>95</v>
      </c>
      <c r="C125" s="199"/>
      <c r="D125" s="46"/>
      <c r="E125" s="47"/>
      <c r="F125" s="47"/>
      <c r="G125" s="47"/>
      <c r="H125" s="47"/>
      <c r="I125" s="48"/>
      <c r="J125" s="48"/>
      <c r="K125" s="48"/>
      <c r="L125" s="47"/>
      <c r="M125" s="48"/>
      <c r="N125" s="47"/>
      <c r="O125" s="47"/>
      <c r="P125" s="47"/>
      <c r="Q125" s="47"/>
      <c r="R125" s="47"/>
      <c r="S125" s="48"/>
      <c r="T125" s="47"/>
      <c r="U125" s="47"/>
      <c r="V125" s="47"/>
      <c r="W125" s="48"/>
      <c r="X125" s="47"/>
      <c r="Y125" s="48"/>
      <c r="Z125" s="49"/>
      <c r="AA125" s="53">
        <f>SUM(E125:Z125)</f>
        <v>0</v>
      </c>
      <c r="AB125" s="74"/>
      <c r="AC125" s="74"/>
      <c r="AD125" s="74"/>
      <c r="AE125" s="74"/>
      <c r="AF125" s="74"/>
      <c r="AG125" s="74"/>
    </row>
    <row r="126" spans="1:33" ht="15.75" thickBot="1" x14ac:dyDescent="0.3">
      <c r="A126" s="205" t="s">
        <v>96</v>
      </c>
      <c r="B126" s="206"/>
      <c r="C126" s="206"/>
      <c r="D126" s="206"/>
      <c r="E126" s="126">
        <f t="shared" ref="E126:J126" si="30">E123*E5</f>
        <v>0</v>
      </c>
      <c r="F126" s="126">
        <f t="shared" si="30"/>
        <v>98384232.209130004</v>
      </c>
      <c r="G126" s="126">
        <f t="shared" si="30"/>
        <v>0</v>
      </c>
      <c r="H126" s="126">
        <f t="shared" si="30"/>
        <v>0</v>
      </c>
      <c r="I126" s="127">
        <f t="shared" si="30"/>
        <v>0</v>
      </c>
      <c r="J126" s="127">
        <f t="shared" si="30"/>
        <v>0</v>
      </c>
      <c r="K126" s="127"/>
      <c r="L126" s="126">
        <f>L123*L5</f>
        <v>0</v>
      </c>
      <c r="M126" s="127">
        <f>M123*M5</f>
        <v>0</v>
      </c>
      <c r="N126" s="126">
        <f t="shared" ref="N126:Z126" si="31">N123*N5</f>
        <v>19482796.959825154</v>
      </c>
      <c r="O126" s="126">
        <f t="shared" si="31"/>
        <v>0</v>
      </c>
      <c r="P126" s="126">
        <f t="shared" si="31"/>
        <v>0</v>
      </c>
      <c r="Q126" s="126">
        <f t="shared" si="31"/>
        <v>0</v>
      </c>
      <c r="R126" s="126">
        <f t="shared" si="31"/>
        <v>0</v>
      </c>
      <c r="S126" s="127">
        <f t="shared" si="31"/>
        <v>0</v>
      </c>
      <c r="T126" s="126">
        <f t="shared" si="31"/>
        <v>0</v>
      </c>
      <c r="U126" s="126">
        <f t="shared" si="31"/>
        <v>0</v>
      </c>
      <c r="V126" s="126">
        <f t="shared" si="31"/>
        <v>0</v>
      </c>
      <c r="W126" s="127">
        <f t="shared" si="31"/>
        <v>0</v>
      </c>
      <c r="X126" s="126">
        <f t="shared" si="31"/>
        <v>4610073.2168196887</v>
      </c>
      <c r="Y126" s="127">
        <f t="shared" si="31"/>
        <v>0</v>
      </c>
      <c r="Z126" s="128">
        <f t="shared" si="31"/>
        <v>0</v>
      </c>
      <c r="AA126" s="57">
        <f>SUM(E126:Z126)+0.1</f>
        <v>122477102.48577484</v>
      </c>
      <c r="AB126" s="129">
        <f>AB123*AB2</f>
        <v>1294567</v>
      </c>
      <c r="AC126" s="129">
        <f t="shared" ref="AC126:AG126" si="32">AC123*AC2</f>
        <v>789325.33333333337</v>
      </c>
      <c r="AD126" s="129">
        <f t="shared" si="32"/>
        <v>631970</v>
      </c>
      <c r="AE126" s="129">
        <f t="shared" si="32"/>
        <v>367106.66666666669</v>
      </c>
      <c r="AF126" s="129">
        <f t="shared" si="32"/>
        <v>578814.66666666663</v>
      </c>
      <c r="AG126" s="129">
        <f t="shared" si="32"/>
        <v>876492</v>
      </c>
    </row>
    <row r="127" spans="1:33" ht="27.75" thickBot="1" x14ac:dyDescent="0.3">
      <c r="A127" s="20" t="s">
        <v>220</v>
      </c>
      <c r="B127" s="120" t="s">
        <v>221</v>
      </c>
      <c r="C127" s="121" t="s">
        <v>222</v>
      </c>
      <c r="D127" s="121" t="s">
        <v>223</v>
      </c>
      <c r="E127" s="130">
        <v>0</v>
      </c>
      <c r="F127" s="130">
        <v>9</v>
      </c>
      <c r="G127" s="130">
        <v>0</v>
      </c>
      <c r="H127" s="130">
        <v>0</v>
      </c>
      <c r="I127" s="131">
        <v>0</v>
      </c>
      <c r="J127" s="131">
        <v>0</v>
      </c>
      <c r="K127" s="24">
        <v>0</v>
      </c>
      <c r="L127" s="130">
        <v>0</v>
      </c>
      <c r="M127" s="131">
        <v>0</v>
      </c>
      <c r="N127" s="130">
        <v>0</v>
      </c>
      <c r="O127" s="130">
        <v>0</v>
      </c>
      <c r="P127" s="130">
        <v>0</v>
      </c>
      <c r="Q127" s="130">
        <v>0</v>
      </c>
      <c r="R127" s="130">
        <v>0</v>
      </c>
      <c r="S127" s="131">
        <v>0</v>
      </c>
      <c r="T127" s="130">
        <v>0</v>
      </c>
      <c r="U127" s="130">
        <v>0</v>
      </c>
      <c r="V127" s="130">
        <v>0</v>
      </c>
      <c r="W127" s="131">
        <v>0</v>
      </c>
      <c r="X127" s="130">
        <v>0</v>
      </c>
      <c r="Y127" s="131">
        <v>0</v>
      </c>
      <c r="Z127" s="132">
        <v>0</v>
      </c>
      <c r="AA127" s="3"/>
      <c r="AB127" s="27">
        <f>38</f>
        <v>38</v>
      </c>
      <c r="AC127" s="26">
        <f>4</f>
        <v>4</v>
      </c>
      <c r="AD127" s="26">
        <v>2</v>
      </c>
      <c r="AE127" s="26">
        <v>2</v>
      </c>
      <c r="AF127" s="26">
        <v>1</v>
      </c>
      <c r="AG127" s="26">
        <f>3</f>
        <v>3</v>
      </c>
    </row>
    <row r="128" spans="1:33" ht="27.75" thickBot="1" x14ac:dyDescent="0.3">
      <c r="A128" s="28" t="s">
        <v>220</v>
      </c>
      <c r="B128" s="122" t="s">
        <v>224</v>
      </c>
      <c r="C128" s="123" t="s">
        <v>225</v>
      </c>
      <c r="D128" s="123" t="s">
        <v>223</v>
      </c>
      <c r="E128" s="31">
        <v>0</v>
      </c>
      <c r="F128" s="31">
        <v>1</v>
      </c>
      <c r="G128" s="31">
        <v>0</v>
      </c>
      <c r="H128" s="31">
        <v>0</v>
      </c>
      <c r="I128" s="32">
        <v>0</v>
      </c>
      <c r="J128" s="32">
        <v>0</v>
      </c>
      <c r="K128" s="24">
        <v>0</v>
      </c>
      <c r="L128" s="31">
        <v>0</v>
      </c>
      <c r="M128" s="32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2">
        <v>0</v>
      </c>
      <c r="T128" s="31">
        <v>0</v>
      </c>
      <c r="U128" s="31">
        <v>0</v>
      </c>
      <c r="V128" s="31">
        <v>0</v>
      </c>
      <c r="W128" s="32">
        <v>0</v>
      </c>
      <c r="X128" s="31">
        <v>0</v>
      </c>
      <c r="Y128" s="32">
        <v>0</v>
      </c>
      <c r="Z128" s="33">
        <v>0</v>
      </c>
      <c r="AA128" s="3"/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</row>
    <row r="129" spans="1:34" ht="27.75" thickBot="1" x14ac:dyDescent="0.3">
      <c r="A129" s="28" t="s">
        <v>220</v>
      </c>
      <c r="B129" s="122" t="s">
        <v>224</v>
      </c>
      <c r="C129" s="123" t="s">
        <v>226</v>
      </c>
      <c r="D129" s="123" t="s">
        <v>223</v>
      </c>
      <c r="E129" s="31">
        <v>0</v>
      </c>
      <c r="F129" s="31">
        <v>5</v>
      </c>
      <c r="G129" s="31">
        <v>1</v>
      </c>
      <c r="H129" s="31">
        <v>0</v>
      </c>
      <c r="I129" s="32">
        <v>0</v>
      </c>
      <c r="J129" s="32">
        <v>0</v>
      </c>
      <c r="K129" s="24">
        <v>0</v>
      </c>
      <c r="L129" s="31">
        <v>0</v>
      </c>
      <c r="M129" s="32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2">
        <v>0</v>
      </c>
      <c r="T129" s="31">
        <v>0</v>
      </c>
      <c r="U129" s="31">
        <v>0</v>
      </c>
      <c r="V129" s="31">
        <v>0</v>
      </c>
      <c r="W129" s="32">
        <v>0</v>
      </c>
      <c r="X129" s="31">
        <v>0</v>
      </c>
      <c r="Y129" s="32">
        <v>0</v>
      </c>
      <c r="Z129" s="33">
        <v>0</v>
      </c>
      <c r="AA129" s="3"/>
      <c r="AB129" s="26">
        <v>19</v>
      </c>
      <c r="AC129" s="26">
        <v>2</v>
      </c>
      <c r="AD129" s="26">
        <v>1</v>
      </c>
      <c r="AE129" s="26">
        <v>1</v>
      </c>
      <c r="AF129" s="26">
        <v>1</v>
      </c>
      <c r="AG129" s="26">
        <v>2</v>
      </c>
    </row>
    <row r="130" spans="1:34" ht="41.25" thickBot="1" x14ac:dyDescent="0.3">
      <c r="A130" s="28" t="s">
        <v>220</v>
      </c>
      <c r="B130" s="122" t="s">
        <v>224</v>
      </c>
      <c r="C130" s="123" t="s">
        <v>227</v>
      </c>
      <c r="D130" s="123" t="s">
        <v>228</v>
      </c>
      <c r="E130" s="31">
        <v>0</v>
      </c>
      <c r="F130" s="31"/>
      <c r="G130" s="31">
        <v>0</v>
      </c>
      <c r="H130" s="31">
        <v>0</v>
      </c>
      <c r="I130" s="32">
        <v>0</v>
      </c>
      <c r="J130" s="32">
        <v>0</v>
      </c>
      <c r="K130" s="24">
        <v>0</v>
      </c>
      <c r="L130" s="31">
        <v>0</v>
      </c>
      <c r="M130" s="32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2">
        <v>0</v>
      </c>
      <c r="T130" s="31">
        <v>0</v>
      </c>
      <c r="U130" s="31">
        <v>0</v>
      </c>
      <c r="V130" s="31">
        <v>0</v>
      </c>
      <c r="W130" s="32">
        <v>0</v>
      </c>
      <c r="X130" s="31">
        <v>0</v>
      </c>
      <c r="Y130" s="32">
        <v>0</v>
      </c>
      <c r="Z130" s="33">
        <v>0</v>
      </c>
      <c r="AA130" s="3"/>
      <c r="AB130" s="26"/>
      <c r="AC130" s="26"/>
      <c r="AD130" s="26"/>
      <c r="AE130" s="26"/>
      <c r="AF130" s="26"/>
      <c r="AG130" s="26"/>
    </row>
    <row r="131" spans="1:34" ht="27.75" thickBot="1" x14ac:dyDescent="0.3">
      <c r="A131" s="28" t="s">
        <v>220</v>
      </c>
      <c r="B131" s="122" t="s">
        <v>221</v>
      </c>
      <c r="C131" s="123" t="s">
        <v>229</v>
      </c>
      <c r="D131" s="123" t="s">
        <v>230</v>
      </c>
      <c r="E131" s="31">
        <v>0</v>
      </c>
      <c r="F131" s="31">
        <v>3</v>
      </c>
      <c r="G131" s="31">
        <v>0</v>
      </c>
      <c r="H131" s="31">
        <v>0</v>
      </c>
      <c r="I131" s="32">
        <v>0</v>
      </c>
      <c r="J131" s="32">
        <v>0</v>
      </c>
      <c r="K131" s="24">
        <v>0</v>
      </c>
      <c r="L131" s="31">
        <v>0</v>
      </c>
      <c r="M131" s="32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2">
        <v>0</v>
      </c>
      <c r="T131" s="31">
        <v>0</v>
      </c>
      <c r="U131" s="31">
        <v>0</v>
      </c>
      <c r="V131" s="31">
        <v>0</v>
      </c>
      <c r="W131" s="32">
        <v>0</v>
      </c>
      <c r="X131" s="31">
        <v>0</v>
      </c>
      <c r="Y131" s="32">
        <v>0</v>
      </c>
      <c r="Z131" s="33">
        <v>0</v>
      </c>
      <c r="AA131" s="3"/>
      <c r="AB131" s="26">
        <v>14</v>
      </c>
      <c r="AC131" s="26">
        <v>2</v>
      </c>
      <c r="AD131" s="26">
        <v>1</v>
      </c>
      <c r="AE131" s="26">
        <v>1</v>
      </c>
      <c r="AF131" s="26">
        <v>1</v>
      </c>
      <c r="AG131" s="26">
        <v>2</v>
      </c>
    </row>
    <row r="132" spans="1:34" ht="27.75" thickBot="1" x14ac:dyDescent="0.3">
      <c r="A132" s="28" t="s">
        <v>220</v>
      </c>
      <c r="B132" s="122" t="s">
        <v>231</v>
      </c>
      <c r="C132" s="123" t="s">
        <v>232</v>
      </c>
      <c r="D132" s="123" t="s">
        <v>233</v>
      </c>
      <c r="E132" s="31">
        <v>0</v>
      </c>
      <c r="F132" s="31">
        <v>2</v>
      </c>
      <c r="G132" s="31">
        <v>0</v>
      </c>
      <c r="H132" s="31">
        <v>0</v>
      </c>
      <c r="I132" s="32">
        <v>0</v>
      </c>
      <c r="J132" s="32">
        <v>0</v>
      </c>
      <c r="K132" s="24">
        <v>0</v>
      </c>
      <c r="L132" s="31">
        <v>0</v>
      </c>
      <c r="M132" s="32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2">
        <v>0</v>
      </c>
      <c r="T132" s="31">
        <v>0</v>
      </c>
      <c r="U132" s="31">
        <v>0</v>
      </c>
      <c r="V132" s="31">
        <v>0</v>
      </c>
      <c r="W132" s="32">
        <v>0</v>
      </c>
      <c r="X132" s="31">
        <v>0</v>
      </c>
      <c r="Y132" s="32">
        <v>0</v>
      </c>
      <c r="Z132" s="33">
        <v>0</v>
      </c>
      <c r="AA132" s="38">
        <f>AA135*7.5</f>
        <v>3246679662.9012899</v>
      </c>
      <c r="AB132" s="26">
        <v>16</v>
      </c>
      <c r="AC132" s="26">
        <v>0</v>
      </c>
      <c r="AD132" s="26">
        <v>1</v>
      </c>
      <c r="AE132" s="26">
        <v>1</v>
      </c>
      <c r="AF132" s="26">
        <v>1</v>
      </c>
      <c r="AG132" s="26">
        <v>0</v>
      </c>
    </row>
    <row r="133" spans="1:34" ht="27.75" thickBot="1" x14ac:dyDescent="0.3">
      <c r="A133" s="62" t="s">
        <v>220</v>
      </c>
      <c r="B133" s="124" t="s">
        <v>234</v>
      </c>
      <c r="C133" s="125" t="s">
        <v>235</v>
      </c>
      <c r="D133" s="125" t="s">
        <v>236</v>
      </c>
      <c r="E133" s="65">
        <v>0</v>
      </c>
      <c r="F133" s="65">
        <v>1</v>
      </c>
      <c r="G133" s="65">
        <v>0</v>
      </c>
      <c r="H133" s="65">
        <v>0</v>
      </c>
      <c r="I133" s="66">
        <v>0</v>
      </c>
      <c r="J133" s="66">
        <v>0</v>
      </c>
      <c r="K133" s="24">
        <v>0</v>
      </c>
      <c r="L133" s="65">
        <v>0</v>
      </c>
      <c r="M133" s="66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6">
        <v>0</v>
      </c>
      <c r="T133" s="65">
        <v>0</v>
      </c>
      <c r="U133" s="65">
        <v>0</v>
      </c>
      <c r="V133" s="65">
        <v>0</v>
      </c>
      <c r="W133" s="66">
        <v>0</v>
      </c>
      <c r="X133" s="65">
        <v>0</v>
      </c>
      <c r="Y133" s="66">
        <v>0</v>
      </c>
      <c r="Z133" s="67">
        <v>0</v>
      </c>
      <c r="AA133" s="3"/>
      <c r="AB133" s="35">
        <v>8</v>
      </c>
      <c r="AC133" s="133">
        <v>0</v>
      </c>
      <c r="AD133" s="133">
        <v>1</v>
      </c>
      <c r="AE133" s="133">
        <v>1</v>
      </c>
      <c r="AF133" s="133">
        <v>0</v>
      </c>
      <c r="AG133" s="133">
        <v>0</v>
      </c>
    </row>
    <row r="134" spans="1:34" ht="15.75" thickBot="1" x14ac:dyDescent="0.3">
      <c r="A134" s="202" t="s">
        <v>94</v>
      </c>
      <c r="B134" s="203"/>
      <c r="C134" s="203"/>
      <c r="D134" s="204"/>
      <c r="E134" s="39">
        <f>SUM(E127:E133)</f>
        <v>0</v>
      </c>
      <c r="F134" s="40">
        <f t="shared" ref="F134:AG134" si="33">SUM(F127:F133)</f>
        <v>21</v>
      </c>
      <c r="G134" s="40">
        <f t="shared" si="33"/>
        <v>1</v>
      </c>
      <c r="H134" s="40">
        <f t="shared" si="33"/>
        <v>0</v>
      </c>
      <c r="I134" s="41">
        <f t="shared" si="33"/>
        <v>0</v>
      </c>
      <c r="J134" s="41">
        <f t="shared" si="33"/>
        <v>0</v>
      </c>
      <c r="K134" s="41"/>
      <c r="L134" s="40">
        <f t="shared" si="33"/>
        <v>0</v>
      </c>
      <c r="M134" s="41">
        <f t="shared" si="33"/>
        <v>0</v>
      </c>
      <c r="N134" s="40">
        <f t="shared" si="33"/>
        <v>0</v>
      </c>
      <c r="O134" s="40">
        <f t="shared" si="33"/>
        <v>0</v>
      </c>
      <c r="P134" s="40">
        <f t="shared" si="33"/>
        <v>0</v>
      </c>
      <c r="Q134" s="40">
        <f t="shared" si="33"/>
        <v>0</v>
      </c>
      <c r="R134" s="40">
        <f t="shared" si="33"/>
        <v>0</v>
      </c>
      <c r="S134" s="41">
        <f t="shared" si="33"/>
        <v>0</v>
      </c>
      <c r="T134" s="40">
        <f t="shared" si="33"/>
        <v>0</v>
      </c>
      <c r="U134" s="40">
        <f t="shared" si="33"/>
        <v>0</v>
      </c>
      <c r="V134" s="40">
        <f t="shared" si="33"/>
        <v>0</v>
      </c>
      <c r="W134" s="41">
        <f t="shared" si="33"/>
        <v>0</v>
      </c>
      <c r="X134" s="40">
        <f t="shared" si="33"/>
        <v>0</v>
      </c>
      <c r="Y134" s="41">
        <f t="shared" si="33"/>
        <v>0</v>
      </c>
      <c r="Z134" s="42">
        <f t="shared" si="33"/>
        <v>0</v>
      </c>
      <c r="AA134" s="43">
        <f>SUM(E134:Z134)</f>
        <v>22</v>
      </c>
      <c r="AB134" s="134">
        <f t="shared" si="33"/>
        <v>95</v>
      </c>
      <c r="AC134" s="134">
        <f t="shared" si="33"/>
        <v>8</v>
      </c>
      <c r="AD134" s="135">
        <f t="shared" si="33"/>
        <v>6</v>
      </c>
      <c r="AE134" s="135">
        <f t="shared" si="33"/>
        <v>6</v>
      </c>
      <c r="AF134" s="135">
        <f t="shared" si="33"/>
        <v>4</v>
      </c>
      <c r="AG134" s="136">
        <f t="shared" si="33"/>
        <v>7</v>
      </c>
    </row>
    <row r="135" spans="1:34" ht="15.75" thickBot="1" x14ac:dyDescent="0.3">
      <c r="A135" s="207" t="s">
        <v>237</v>
      </c>
      <c r="B135" s="208"/>
      <c r="C135" s="208"/>
      <c r="D135" s="208"/>
      <c r="E135" s="137">
        <f t="shared" ref="E135:J135" si="34">E134*E5</f>
        <v>0</v>
      </c>
      <c r="F135" s="137">
        <f t="shared" si="34"/>
        <v>413213775.278346</v>
      </c>
      <c r="G135" s="137">
        <f t="shared" si="34"/>
        <v>19676846.441826001</v>
      </c>
      <c r="H135" s="137">
        <f t="shared" si="34"/>
        <v>0</v>
      </c>
      <c r="I135" s="138">
        <f t="shared" si="34"/>
        <v>0</v>
      </c>
      <c r="J135" s="138">
        <f t="shared" si="34"/>
        <v>0</v>
      </c>
      <c r="K135" s="138"/>
      <c r="L135" s="137">
        <f>L134*L5</f>
        <v>0</v>
      </c>
      <c r="M135" s="138">
        <f>M134*M5</f>
        <v>0</v>
      </c>
      <c r="N135" s="137">
        <f t="shared" ref="N135:Z135" si="35">N134*N5</f>
        <v>0</v>
      </c>
      <c r="O135" s="137">
        <f t="shared" si="35"/>
        <v>0</v>
      </c>
      <c r="P135" s="137">
        <f t="shared" si="35"/>
        <v>0</v>
      </c>
      <c r="Q135" s="137">
        <f t="shared" si="35"/>
        <v>0</v>
      </c>
      <c r="R135" s="137">
        <f t="shared" si="35"/>
        <v>0</v>
      </c>
      <c r="S135" s="138">
        <f t="shared" si="35"/>
        <v>0</v>
      </c>
      <c r="T135" s="137">
        <f t="shared" si="35"/>
        <v>0</v>
      </c>
      <c r="U135" s="137">
        <f t="shared" si="35"/>
        <v>0</v>
      </c>
      <c r="V135" s="137">
        <f t="shared" si="35"/>
        <v>0</v>
      </c>
      <c r="W135" s="138">
        <f t="shared" si="35"/>
        <v>0</v>
      </c>
      <c r="X135" s="137">
        <f t="shared" si="35"/>
        <v>0</v>
      </c>
      <c r="Y135" s="138">
        <f t="shared" si="35"/>
        <v>0</v>
      </c>
      <c r="Z135" s="139">
        <f t="shared" si="35"/>
        <v>0</v>
      </c>
      <c r="AA135" s="57">
        <f>SUM(E135:Z135)</f>
        <v>432890621.72017199</v>
      </c>
      <c r="AB135" s="140">
        <f>AB134*AB5</f>
        <v>2869623.5166666671</v>
      </c>
      <c r="AC135" s="140">
        <f t="shared" ref="AC135:AG135" si="36">AC134*AC5</f>
        <v>939297.14666666673</v>
      </c>
      <c r="AD135" s="141">
        <f t="shared" si="36"/>
        <v>902453.15999999992</v>
      </c>
      <c r="AE135" s="141">
        <f t="shared" si="36"/>
        <v>655285.4</v>
      </c>
      <c r="AF135" s="141">
        <f t="shared" si="36"/>
        <v>1377578.9066666665</v>
      </c>
      <c r="AG135" s="142">
        <f t="shared" si="36"/>
        <v>811242.04</v>
      </c>
    </row>
    <row r="136" spans="1:34" ht="17.25" thickBot="1" x14ac:dyDescent="0.3">
      <c r="A136" s="219" t="s">
        <v>238</v>
      </c>
      <c r="B136" s="220"/>
      <c r="C136" s="220"/>
      <c r="D136" s="220"/>
      <c r="E136" s="143">
        <f t="shared" ref="E136:Z136" si="37">+E33+E48+E70+E80+E96+E112+E123+E134</f>
        <v>8</v>
      </c>
      <c r="F136" s="143">
        <f t="shared" si="37"/>
        <v>233</v>
      </c>
      <c r="G136" s="143">
        <f t="shared" si="37"/>
        <v>12</v>
      </c>
      <c r="H136" s="143">
        <f t="shared" si="37"/>
        <v>2</v>
      </c>
      <c r="I136" s="144">
        <f t="shared" si="37"/>
        <v>0</v>
      </c>
      <c r="J136" s="144">
        <f t="shared" si="37"/>
        <v>0</v>
      </c>
      <c r="K136" s="144">
        <f t="shared" si="37"/>
        <v>0</v>
      </c>
      <c r="L136" s="143">
        <f t="shared" si="37"/>
        <v>5</v>
      </c>
      <c r="M136" s="144">
        <f t="shared" si="37"/>
        <v>0</v>
      </c>
      <c r="N136" s="143">
        <f t="shared" si="37"/>
        <v>11</v>
      </c>
      <c r="O136" s="143">
        <f t="shared" si="37"/>
        <v>4</v>
      </c>
      <c r="P136" s="143">
        <f t="shared" si="37"/>
        <v>3</v>
      </c>
      <c r="Q136" s="143">
        <f t="shared" si="37"/>
        <v>7</v>
      </c>
      <c r="R136" s="143">
        <f t="shared" si="37"/>
        <v>3</v>
      </c>
      <c r="S136" s="144">
        <f t="shared" si="37"/>
        <v>0</v>
      </c>
      <c r="T136" s="143">
        <f t="shared" si="37"/>
        <v>4</v>
      </c>
      <c r="U136" s="143">
        <f t="shared" si="37"/>
        <v>1</v>
      </c>
      <c r="V136" s="143">
        <f t="shared" si="37"/>
        <v>1</v>
      </c>
      <c r="W136" s="144">
        <f t="shared" si="37"/>
        <v>0</v>
      </c>
      <c r="X136" s="143">
        <f t="shared" si="37"/>
        <v>1</v>
      </c>
      <c r="Y136" s="144">
        <f t="shared" si="37"/>
        <v>0</v>
      </c>
      <c r="Z136" s="145">
        <f t="shared" si="37"/>
        <v>0</v>
      </c>
      <c r="AA136" s="146"/>
      <c r="AB136" s="143">
        <f t="shared" ref="AB136:AG136" si="38">+AB33+AB48+AB70+AB80+AB96+AB112+AB123+AB134</f>
        <v>1222</v>
      </c>
      <c r="AC136" s="143">
        <f t="shared" si="38"/>
        <v>109</v>
      </c>
      <c r="AD136" s="143">
        <f t="shared" si="38"/>
        <v>90</v>
      </c>
      <c r="AE136" s="143">
        <f t="shared" si="38"/>
        <v>86</v>
      </c>
      <c r="AF136" s="143">
        <f t="shared" si="38"/>
        <v>41</v>
      </c>
      <c r="AG136" s="147">
        <f t="shared" si="38"/>
        <v>127</v>
      </c>
    </row>
    <row r="137" spans="1:34" s="75" customFormat="1" ht="15.75" thickBot="1" x14ac:dyDescent="0.3">
      <c r="A137" s="221" t="s">
        <v>239</v>
      </c>
      <c r="B137" s="222"/>
      <c r="C137" s="222"/>
      <c r="D137" s="222"/>
      <c r="E137" s="148">
        <f t="shared" ref="E137:Z137" si="39">+E136*(E2+E3)</f>
        <v>157340392.44</v>
      </c>
      <c r="F137" s="148">
        <f t="shared" si="39"/>
        <v>4499220040.1820002</v>
      </c>
      <c r="G137" s="148">
        <f t="shared" si="39"/>
        <v>231719487.04800001</v>
      </c>
      <c r="H137" s="148">
        <f t="shared" si="39"/>
        <v>39692689.910999998</v>
      </c>
      <c r="I137" s="148">
        <f t="shared" si="39"/>
        <v>0</v>
      </c>
      <c r="J137" s="148">
        <f t="shared" si="39"/>
        <v>0</v>
      </c>
      <c r="K137" s="148">
        <f t="shared" si="39"/>
        <v>0</v>
      </c>
      <c r="L137" s="148">
        <f t="shared" si="39"/>
        <v>59748518.64519491</v>
      </c>
      <c r="M137" s="148">
        <f t="shared" si="39"/>
        <v>0</v>
      </c>
      <c r="N137" s="148">
        <f t="shared" si="39"/>
        <v>105157392.81554304</v>
      </c>
      <c r="O137" s="148">
        <f t="shared" si="39"/>
        <v>33930862.734197907</v>
      </c>
      <c r="P137" s="148">
        <f t="shared" si="39"/>
        <v>16965431.367098954</v>
      </c>
      <c r="Q137" s="148">
        <f t="shared" si="39"/>
        <v>47503207.827877074</v>
      </c>
      <c r="R137" s="148">
        <f t="shared" si="39"/>
        <v>32481724.711351573</v>
      </c>
      <c r="S137" s="148">
        <f t="shared" si="39"/>
        <v>0</v>
      </c>
      <c r="T137" s="148">
        <f t="shared" si="39"/>
        <v>44110984.175909542</v>
      </c>
      <c r="U137" s="148">
        <f t="shared" si="39"/>
        <v>7496554.5161640001</v>
      </c>
      <c r="V137" s="148">
        <f t="shared" si="39"/>
        <v>7360253.5249610189</v>
      </c>
      <c r="W137" s="148">
        <f t="shared" si="39"/>
        <v>0</v>
      </c>
      <c r="X137" s="148">
        <f t="shared" si="39"/>
        <v>4524115.0312263872</v>
      </c>
      <c r="Y137" s="148">
        <f t="shared" si="39"/>
        <v>0</v>
      </c>
      <c r="Z137" s="148">
        <f t="shared" si="39"/>
        <v>0</v>
      </c>
      <c r="AA137" s="149"/>
      <c r="AB137" s="148">
        <f t="shared" ref="AB137:AG137" si="40">+AB136*(AB2+AB3)</f>
        <v>31018840.666666668</v>
      </c>
      <c r="AC137" s="148">
        <f t="shared" si="40"/>
        <v>10754557.666666668</v>
      </c>
      <c r="AD137" s="148">
        <f t="shared" si="40"/>
        <v>11375460</v>
      </c>
      <c r="AE137" s="148">
        <f t="shared" si="40"/>
        <v>7892793.333333334</v>
      </c>
      <c r="AF137" s="148">
        <f t="shared" si="40"/>
        <v>11865700.666666666</v>
      </c>
      <c r="AG137" s="148">
        <f t="shared" si="40"/>
        <v>12368276</v>
      </c>
      <c r="AH137" s="150"/>
    </row>
    <row r="138" spans="1:34" s="75" customFormat="1" ht="15.75" thickBot="1" x14ac:dyDescent="0.3">
      <c r="A138" s="223" t="s">
        <v>240</v>
      </c>
      <c r="B138" s="224"/>
      <c r="C138" s="224"/>
      <c r="D138" s="224"/>
      <c r="E138" s="151">
        <f>+ROUND(((E33+E48+E70+E80+E96+E112+E134)*E4),0)</f>
        <v>2989467</v>
      </c>
      <c r="F138" s="151">
        <f t="shared" ref="F138:Z138" si="41">+ROUND(((F33+F48+F70+F80+F96+F112+F134)*F4),0)</f>
        <v>83650735</v>
      </c>
      <c r="G138" s="151">
        <f t="shared" si="41"/>
        <v>4402670</v>
      </c>
      <c r="H138" s="151">
        <f t="shared" si="41"/>
        <v>754161</v>
      </c>
      <c r="I138" s="151">
        <f t="shared" si="41"/>
        <v>0</v>
      </c>
      <c r="J138" s="151">
        <f t="shared" si="41"/>
        <v>0</v>
      </c>
      <c r="K138" s="151">
        <f t="shared" si="41"/>
        <v>0</v>
      </c>
      <c r="L138" s="151">
        <f t="shared" si="41"/>
        <v>1135222</v>
      </c>
      <c r="M138" s="151">
        <f t="shared" si="41"/>
        <v>0</v>
      </c>
      <c r="N138" s="151">
        <f t="shared" si="41"/>
        <v>1634719</v>
      </c>
      <c r="O138" s="151">
        <f t="shared" si="41"/>
        <v>644686</v>
      </c>
      <c r="P138" s="151">
        <f t="shared" si="41"/>
        <v>322343</v>
      </c>
      <c r="Q138" s="151">
        <f t="shared" si="41"/>
        <v>902561</v>
      </c>
      <c r="R138" s="151">
        <f t="shared" si="41"/>
        <v>617153</v>
      </c>
      <c r="S138" s="151">
        <f t="shared" si="41"/>
        <v>0</v>
      </c>
      <c r="T138" s="151">
        <f t="shared" si="41"/>
        <v>838109</v>
      </c>
      <c r="U138" s="151">
        <f t="shared" si="41"/>
        <v>142435</v>
      </c>
      <c r="V138" s="151">
        <f t="shared" si="41"/>
        <v>139845</v>
      </c>
      <c r="W138" s="151">
        <f t="shared" si="41"/>
        <v>0</v>
      </c>
      <c r="X138" s="151">
        <f t="shared" si="41"/>
        <v>0</v>
      </c>
      <c r="Y138" s="151">
        <f t="shared" si="41"/>
        <v>0</v>
      </c>
      <c r="Z138" s="151">
        <f t="shared" si="41"/>
        <v>0</v>
      </c>
      <c r="AA138" s="149"/>
      <c r="AB138" s="151">
        <f t="shared" ref="AB138:AG138" si="42">+ROUND(((AB33+AB48+AB70+AB80+AB96+AB112+AB134)*AB4),0)</f>
        <v>5647612</v>
      </c>
      <c r="AC138" s="151">
        <f t="shared" si="42"/>
        <v>1893394</v>
      </c>
      <c r="AD138" s="151">
        <f t="shared" si="42"/>
        <v>2041263</v>
      </c>
      <c r="AE138" s="151">
        <f t="shared" si="42"/>
        <v>1429880</v>
      </c>
      <c r="AF138" s="151">
        <f t="shared" si="42"/>
        <v>2144508</v>
      </c>
      <c r="AG138" s="151">
        <f t="shared" si="42"/>
        <v>2183439</v>
      </c>
      <c r="AH138" s="150"/>
    </row>
    <row r="139" spans="1:34" s="75" customFormat="1" ht="15.75" thickBot="1" x14ac:dyDescent="0.3">
      <c r="A139" s="225" t="s">
        <v>279</v>
      </c>
      <c r="B139" s="226"/>
      <c r="C139" s="226"/>
      <c r="D139" s="226"/>
      <c r="E139" s="152">
        <f>+E137+E138</f>
        <v>160329859.44</v>
      </c>
      <c r="F139" s="152">
        <f t="shared" ref="F139:Z139" si="43">+F137+F138</f>
        <v>4582870775.1820002</v>
      </c>
      <c r="G139" s="152">
        <f t="shared" si="43"/>
        <v>236122157.04800001</v>
      </c>
      <c r="H139" s="152">
        <f t="shared" si="43"/>
        <v>40446850.910999998</v>
      </c>
      <c r="I139" s="152">
        <f t="shared" si="43"/>
        <v>0</v>
      </c>
      <c r="J139" s="152">
        <f t="shared" si="43"/>
        <v>0</v>
      </c>
      <c r="K139" s="152">
        <f t="shared" si="43"/>
        <v>0</v>
      </c>
      <c r="L139" s="152">
        <f t="shared" si="43"/>
        <v>60883740.64519491</v>
      </c>
      <c r="M139" s="152">
        <f t="shared" si="43"/>
        <v>0</v>
      </c>
      <c r="N139" s="152">
        <f t="shared" si="43"/>
        <v>106792111.81554304</v>
      </c>
      <c r="O139" s="152">
        <f t="shared" si="43"/>
        <v>34575548.734197907</v>
      </c>
      <c r="P139" s="152">
        <f t="shared" si="43"/>
        <v>17287774.367098954</v>
      </c>
      <c r="Q139" s="152">
        <f t="shared" si="43"/>
        <v>48405768.827877074</v>
      </c>
      <c r="R139" s="152">
        <f t="shared" si="43"/>
        <v>33098877.711351573</v>
      </c>
      <c r="S139" s="152">
        <f t="shared" si="43"/>
        <v>0</v>
      </c>
      <c r="T139" s="152">
        <f t="shared" si="43"/>
        <v>44949093.175909542</v>
      </c>
      <c r="U139" s="152">
        <f t="shared" si="43"/>
        <v>7638989.5161640001</v>
      </c>
      <c r="V139" s="152">
        <f t="shared" si="43"/>
        <v>7500098.5249610189</v>
      </c>
      <c r="W139" s="152">
        <f t="shared" si="43"/>
        <v>0</v>
      </c>
      <c r="X139" s="152">
        <f t="shared" si="43"/>
        <v>4524115.0312263872</v>
      </c>
      <c r="Y139" s="152">
        <f t="shared" si="43"/>
        <v>0</v>
      </c>
      <c r="Z139" s="152">
        <f t="shared" si="43"/>
        <v>0</v>
      </c>
      <c r="AA139" s="149">
        <f>SUM(E139:Z139)</f>
        <v>5385425760.9305248</v>
      </c>
      <c r="AB139" s="152">
        <f>+AB137+AB138</f>
        <v>36666452.666666672</v>
      </c>
      <c r="AC139" s="152">
        <f t="shared" ref="AC139:AG139" si="44">+AC137+AC138</f>
        <v>12647951.666666668</v>
      </c>
      <c r="AD139" s="152">
        <f t="shared" si="44"/>
        <v>13416723</v>
      </c>
      <c r="AE139" s="152">
        <f t="shared" si="44"/>
        <v>9322673.333333334</v>
      </c>
      <c r="AF139" s="152">
        <f t="shared" si="44"/>
        <v>14010208.666666666</v>
      </c>
      <c r="AG139" s="152">
        <f t="shared" si="44"/>
        <v>14551715</v>
      </c>
      <c r="AH139" s="153">
        <f>SUM(AB139:AG139)</f>
        <v>100615724.33333334</v>
      </c>
    </row>
    <row r="140" spans="1:34" s="75" customFormat="1" x14ac:dyDescent="0.25">
      <c r="A140" s="154"/>
      <c r="B140" s="154"/>
      <c r="C140" s="154"/>
      <c r="D140" s="154"/>
      <c r="E140" s="155"/>
      <c r="F140" s="155"/>
      <c r="G140" s="155"/>
      <c r="H140" s="155"/>
      <c r="I140" s="156"/>
      <c r="J140" s="156"/>
      <c r="K140" s="156"/>
      <c r="L140" s="155"/>
      <c r="M140" s="156"/>
      <c r="N140" s="155"/>
      <c r="O140" s="155"/>
      <c r="P140" s="155"/>
      <c r="Q140" s="155"/>
      <c r="R140" s="155"/>
      <c r="S140" s="156"/>
      <c r="T140" s="155"/>
      <c r="U140" s="155"/>
      <c r="V140" s="155"/>
      <c r="W140" s="156"/>
      <c r="X140" s="155"/>
      <c r="Y140" s="156"/>
      <c r="Z140" s="156"/>
      <c r="AA140" s="157"/>
      <c r="AB140" s="155"/>
      <c r="AC140" s="155"/>
      <c r="AD140" s="155"/>
      <c r="AE140" s="155"/>
      <c r="AF140" s="155"/>
      <c r="AG140" s="155"/>
    </row>
    <row r="141" spans="1:34" ht="16.5" thickBot="1" x14ac:dyDescent="0.3">
      <c r="A141" s="227" t="s">
        <v>242</v>
      </c>
      <c r="B141" s="227"/>
      <c r="C141" s="227"/>
      <c r="D141" s="227"/>
      <c r="F141" s="158"/>
      <c r="G141" s="158"/>
      <c r="H141" s="158"/>
      <c r="I141" s="159"/>
      <c r="J141" s="159"/>
      <c r="K141" s="159"/>
      <c r="L141" s="158"/>
      <c r="M141" s="159"/>
      <c r="N141" s="158"/>
      <c r="O141" s="158"/>
      <c r="P141" s="158"/>
      <c r="Q141" s="158"/>
      <c r="R141" s="158"/>
      <c r="S141" s="159"/>
      <c r="T141" s="158"/>
      <c r="U141" s="158"/>
      <c r="V141" s="158"/>
      <c r="W141" s="159"/>
      <c r="X141" s="158"/>
      <c r="AA141" s="161"/>
    </row>
    <row r="142" spans="1:34" ht="108.75" thickBot="1" x14ac:dyDescent="0.3">
      <c r="A142" s="7" t="s">
        <v>5</v>
      </c>
      <c r="B142" s="8" t="s">
        <v>6</v>
      </c>
      <c r="C142" s="7" t="s">
        <v>7</v>
      </c>
      <c r="D142" s="9" t="s">
        <v>8</v>
      </c>
      <c r="E142" s="162" t="s">
        <v>9</v>
      </c>
      <c r="F142" s="13" t="s">
        <v>10</v>
      </c>
      <c r="G142" s="13" t="s">
        <v>11</v>
      </c>
      <c r="H142" s="13" t="s">
        <v>12</v>
      </c>
      <c r="I142" s="13" t="s">
        <v>13</v>
      </c>
      <c r="J142" s="13" t="s">
        <v>14</v>
      </c>
      <c r="K142" s="13" t="s">
        <v>15</v>
      </c>
      <c r="L142" s="13" t="s">
        <v>16</v>
      </c>
      <c r="M142" s="13" t="s">
        <v>17</v>
      </c>
      <c r="N142" s="13" t="s">
        <v>18</v>
      </c>
      <c r="O142" s="13" t="s">
        <v>19</v>
      </c>
      <c r="P142" s="13" t="s">
        <v>20</v>
      </c>
      <c r="Q142" s="13" t="s">
        <v>21</v>
      </c>
      <c r="R142" s="13" t="s">
        <v>22</v>
      </c>
      <c r="S142" s="13" t="s">
        <v>23</v>
      </c>
      <c r="T142" s="163" t="s">
        <v>24</v>
      </c>
      <c r="U142" s="163" t="s">
        <v>25</v>
      </c>
      <c r="V142" s="13" t="s">
        <v>26</v>
      </c>
      <c r="W142" s="13" t="s">
        <v>27</v>
      </c>
      <c r="X142" s="13" t="s">
        <v>28</v>
      </c>
      <c r="Y142" s="13" t="s">
        <v>29</v>
      </c>
      <c r="Z142" s="13" t="s">
        <v>30</v>
      </c>
      <c r="AA142" s="3"/>
      <c r="AB142" s="16" t="s">
        <v>31</v>
      </c>
      <c r="AC142" s="17" t="s">
        <v>32</v>
      </c>
      <c r="AD142" s="18" t="s">
        <v>33</v>
      </c>
      <c r="AE142" s="18" t="s">
        <v>34</v>
      </c>
      <c r="AF142" s="18" t="s">
        <v>35</v>
      </c>
      <c r="AG142" s="19" t="s">
        <v>36</v>
      </c>
    </row>
    <row r="143" spans="1:34" x14ac:dyDescent="0.25">
      <c r="A143" s="28" t="s">
        <v>97</v>
      </c>
      <c r="B143" s="164" t="s">
        <v>101</v>
      </c>
      <c r="C143" s="30" t="s">
        <v>243</v>
      </c>
      <c r="D143" s="30" t="s">
        <v>243</v>
      </c>
      <c r="E143" s="165">
        <v>0</v>
      </c>
      <c r="F143" s="166">
        <v>3</v>
      </c>
      <c r="G143" s="166">
        <v>0</v>
      </c>
      <c r="H143" s="166">
        <v>0</v>
      </c>
      <c r="I143" s="166">
        <v>0</v>
      </c>
      <c r="J143" s="166">
        <v>0</v>
      </c>
      <c r="K143" s="166">
        <v>0</v>
      </c>
      <c r="L143" s="166">
        <v>0</v>
      </c>
      <c r="M143" s="166">
        <v>0</v>
      </c>
      <c r="N143" s="166">
        <v>0</v>
      </c>
      <c r="O143" s="166">
        <v>0</v>
      </c>
      <c r="P143" s="166">
        <v>0</v>
      </c>
      <c r="Q143" s="166">
        <v>0</v>
      </c>
      <c r="R143" s="166">
        <v>0</v>
      </c>
      <c r="S143" s="166">
        <v>0</v>
      </c>
      <c r="T143" s="165">
        <v>0</v>
      </c>
      <c r="U143" s="165">
        <v>0</v>
      </c>
      <c r="V143" s="166">
        <v>0</v>
      </c>
      <c r="W143" s="166">
        <v>0</v>
      </c>
      <c r="X143" s="166">
        <v>0</v>
      </c>
      <c r="Y143" s="166">
        <v>0</v>
      </c>
      <c r="Z143" s="166">
        <v>0</v>
      </c>
      <c r="AA143" s="167"/>
      <c r="AB143" s="166">
        <v>0</v>
      </c>
      <c r="AC143" s="166">
        <v>0</v>
      </c>
      <c r="AD143" s="166">
        <v>0</v>
      </c>
      <c r="AE143" s="166">
        <v>0</v>
      </c>
      <c r="AF143" s="166">
        <v>0</v>
      </c>
      <c r="AG143" s="166">
        <v>0</v>
      </c>
    </row>
    <row r="144" spans="1:34" ht="27" x14ac:dyDescent="0.25">
      <c r="A144" s="28" t="s">
        <v>188</v>
      </c>
      <c r="B144" s="164" t="s">
        <v>193</v>
      </c>
      <c r="C144" s="30" t="s">
        <v>195</v>
      </c>
      <c r="D144" s="30" t="s">
        <v>196</v>
      </c>
      <c r="E144" s="165">
        <v>0</v>
      </c>
      <c r="F144" s="166">
        <v>1</v>
      </c>
      <c r="G144" s="166">
        <v>0</v>
      </c>
      <c r="H144" s="166">
        <v>0</v>
      </c>
      <c r="I144" s="166">
        <v>0</v>
      </c>
      <c r="J144" s="166">
        <v>0</v>
      </c>
      <c r="K144" s="166">
        <v>0</v>
      </c>
      <c r="L144" s="166">
        <v>0</v>
      </c>
      <c r="M144" s="166">
        <v>0</v>
      </c>
      <c r="N144" s="166">
        <v>0</v>
      </c>
      <c r="O144" s="166">
        <v>0</v>
      </c>
      <c r="P144" s="166">
        <v>0</v>
      </c>
      <c r="Q144" s="166">
        <v>0</v>
      </c>
      <c r="R144" s="166">
        <v>0</v>
      </c>
      <c r="S144" s="166">
        <v>0</v>
      </c>
      <c r="T144" s="165">
        <v>0</v>
      </c>
      <c r="U144" s="165">
        <v>0</v>
      </c>
      <c r="V144" s="166">
        <v>0</v>
      </c>
      <c r="W144" s="166">
        <v>0</v>
      </c>
      <c r="X144" s="166">
        <v>0</v>
      </c>
      <c r="Y144" s="166">
        <v>0</v>
      </c>
      <c r="Z144" s="166">
        <v>0</v>
      </c>
      <c r="AA144" s="167"/>
      <c r="AB144" s="166">
        <v>0</v>
      </c>
      <c r="AC144" s="166">
        <v>0</v>
      </c>
      <c r="AD144" s="166">
        <v>0</v>
      </c>
      <c r="AE144" s="166">
        <v>0</v>
      </c>
      <c r="AF144" s="166">
        <v>0</v>
      </c>
      <c r="AG144" s="166">
        <v>0</v>
      </c>
    </row>
    <row r="145" spans="1:34" x14ac:dyDescent="0.25">
      <c r="A145" s="123"/>
      <c r="B145" s="168"/>
      <c r="C145" s="123"/>
      <c r="D145" s="123"/>
      <c r="E145" s="165">
        <v>0</v>
      </c>
      <c r="F145" s="166">
        <v>0</v>
      </c>
      <c r="G145" s="166">
        <v>0</v>
      </c>
      <c r="H145" s="166">
        <v>0</v>
      </c>
      <c r="I145" s="166">
        <v>0</v>
      </c>
      <c r="J145" s="166">
        <v>0</v>
      </c>
      <c r="K145" s="166">
        <v>0</v>
      </c>
      <c r="L145" s="166">
        <v>0</v>
      </c>
      <c r="M145" s="166">
        <v>0</v>
      </c>
      <c r="N145" s="166">
        <v>0</v>
      </c>
      <c r="O145" s="166">
        <v>0</v>
      </c>
      <c r="P145" s="166">
        <v>0</v>
      </c>
      <c r="Q145" s="166">
        <v>0</v>
      </c>
      <c r="R145" s="166">
        <v>0</v>
      </c>
      <c r="S145" s="166">
        <v>0</v>
      </c>
      <c r="T145" s="165">
        <v>0</v>
      </c>
      <c r="U145" s="165">
        <v>0</v>
      </c>
      <c r="V145" s="166">
        <v>0</v>
      </c>
      <c r="W145" s="166">
        <v>0</v>
      </c>
      <c r="X145" s="166">
        <v>0</v>
      </c>
      <c r="Y145" s="166">
        <v>0</v>
      </c>
      <c r="Z145" s="166">
        <v>0</v>
      </c>
      <c r="AA145" s="167"/>
      <c r="AB145" s="166">
        <v>0</v>
      </c>
      <c r="AC145" s="166">
        <v>0</v>
      </c>
      <c r="AD145" s="166">
        <v>0</v>
      </c>
      <c r="AE145" s="166">
        <v>0</v>
      </c>
      <c r="AF145" s="166">
        <v>0</v>
      </c>
      <c r="AG145" s="166">
        <v>0</v>
      </c>
    </row>
    <row r="146" spans="1:34" x14ac:dyDescent="0.25">
      <c r="A146" s="123"/>
      <c r="B146" s="168"/>
      <c r="C146" s="123"/>
      <c r="D146" s="123"/>
      <c r="E146" s="165">
        <v>0</v>
      </c>
      <c r="F146" s="166">
        <v>0</v>
      </c>
      <c r="G146" s="166">
        <v>0</v>
      </c>
      <c r="H146" s="166">
        <v>0</v>
      </c>
      <c r="I146" s="166">
        <v>0</v>
      </c>
      <c r="J146" s="166">
        <v>0</v>
      </c>
      <c r="K146" s="166">
        <v>0</v>
      </c>
      <c r="L146" s="166">
        <v>0</v>
      </c>
      <c r="M146" s="166">
        <v>0</v>
      </c>
      <c r="N146" s="166">
        <v>0</v>
      </c>
      <c r="O146" s="166">
        <v>0</v>
      </c>
      <c r="P146" s="166">
        <v>0</v>
      </c>
      <c r="Q146" s="166">
        <v>0</v>
      </c>
      <c r="R146" s="166">
        <v>0</v>
      </c>
      <c r="S146" s="166">
        <v>0</v>
      </c>
      <c r="T146" s="165">
        <v>0</v>
      </c>
      <c r="U146" s="165">
        <v>0</v>
      </c>
      <c r="V146" s="166">
        <v>0</v>
      </c>
      <c r="W146" s="166">
        <v>0</v>
      </c>
      <c r="X146" s="166">
        <v>0</v>
      </c>
      <c r="Y146" s="166">
        <v>0</v>
      </c>
      <c r="Z146" s="166">
        <v>0</v>
      </c>
      <c r="AA146" s="167"/>
      <c r="AB146" s="166">
        <v>0</v>
      </c>
      <c r="AC146" s="166">
        <v>0</v>
      </c>
      <c r="AD146" s="166">
        <v>0</v>
      </c>
      <c r="AE146" s="166">
        <v>0</v>
      </c>
      <c r="AF146" s="166">
        <v>0</v>
      </c>
      <c r="AG146" s="166">
        <v>0</v>
      </c>
    </row>
    <row r="147" spans="1:34" x14ac:dyDescent="0.25">
      <c r="A147" s="170"/>
      <c r="B147" s="171"/>
      <c r="C147" s="171"/>
      <c r="D147" s="171"/>
      <c r="E147" s="165">
        <v>0</v>
      </c>
      <c r="F147" s="166">
        <v>0</v>
      </c>
      <c r="G147" s="166">
        <v>0</v>
      </c>
      <c r="H147" s="166">
        <v>0</v>
      </c>
      <c r="I147" s="166">
        <v>0</v>
      </c>
      <c r="J147" s="166">
        <v>0</v>
      </c>
      <c r="K147" s="166">
        <v>0</v>
      </c>
      <c r="L147" s="166">
        <v>0</v>
      </c>
      <c r="M147" s="166">
        <v>0</v>
      </c>
      <c r="N147" s="166">
        <v>0</v>
      </c>
      <c r="O147" s="166">
        <v>0</v>
      </c>
      <c r="P147" s="166">
        <v>0</v>
      </c>
      <c r="Q147" s="166">
        <v>0</v>
      </c>
      <c r="R147" s="166">
        <v>0</v>
      </c>
      <c r="S147" s="166">
        <v>0</v>
      </c>
      <c r="T147" s="165">
        <v>0</v>
      </c>
      <c r="U147" s="165">
        <v>0</v>
      </c>
      <c r="V147" s="166">
        <v>0</v>
      </c>
      <c r="W147" s="166">
        <v>0</v>
      </c>
      <c r="X147" s="166">
        <v>0</v>
      </c>
      <c r="Y147" s="166">
        <v>0</v>
      </c>
      <c r="Z147" s="166">
        <v>0</v>
      </c>
      <c r="AA147" s="172"/>
      <c r="AB147" s="166">
        <v>0</v>
      </c>
      <c r="AC147" s="166">
        <v>0</v>
      </c>
      <c r="AD147" s="166">
        <v>0</v>
      </c>
      <c r="AE147" s="166">
        <v>0</v>
      </c>
      <c r="AF147" s="166">
        <v>0</v>
      </c>
      <c r="AG147" s="166">
        <v>0</v>
      </c>
    </row>
    <row r="148" spans="1:34" x14ac:dyDescent="0.25">
      <c r="A148" s="209" t="s">
        <v>244</v>
      </c>
      <c r="B148" s="210"/>
      <c r="C148" s="210"/>
      <c r="D148" s="211"/>
      <c r="E148" s="173">
        <f>+E143+E144+E145+E146+E147</f>
        <v>0</v>
      </c>
      <c r="F148" s="173">
        <f t="shared" ref="F148:X148" si="45">+F143+F144+F145+F146+F147</f>
        <v>4</v>
      </c>
      <c r="G148" s="173">
        <f t="shared" si="45"/>
        <v>0</v>
      </c>
      <c r="H148" s="173">
        <f t="shared" si="45"/>
        <v>0</v>
      </c>
      <c r="I148" s="173">
        <f t="shared" si="45"/>
        <v>0</v>
      </c>
      <c r="J148" s="173">
        <f t="shared" si="45"/>
        <v>0</v>
      </c>
      <c r="K148" s="173">
        <f t="shared" si="45"/>
        <v>0</v>
      </c>
      <c r="L148" s="173">
        <f t="shared" si="45"/>
        <v>0</v>
      </c>
      <c r="M148" s="173">
        <f t="shared" si="45"/>
        <v>0</v>
      </c>
      <c r="N148" s="173">
        <f t="shared" si="45"/>
        <v>0</v>
      </c>
      <c r="O148" s="173">
        <f t="shared" si="45"/>
        <v>0</v>
      </c>
      <c r="P148" s="173">
        <f t="shared" si="45"/>
        <v>0</v>
      </c>
      <c r="Q148" s="173">
        <f t="shared" si="45"/>
        <v>0</v>
      </c>
      <c r="R148" s="173">
        <f t="shared" si="45"/>
        <v>0</v>
      </c>
      <c r="S148" s="173">
        <f t="shared" si="45"/>
        <v>0</v>
      </c>
      <c r="T148" s="173">
        <f t="shared" si="45"/>
        <v>0</v>
      </c>
      <c r="U148" s="173">
        <f t="shared" si="45"/>
        <v>0</v>
      </c>
      <c r="V148" s="173">
        <f t="shared" si="45"/>
        <v>0</v>
      </c>
      <c r="W148" s="173">
        <f t="shared" si="45"/>
        <v>0</v>
      </c>
      <c r="X148" s="173">
        <f t="shared" si="45"/>
        <v>0</v>
      </c>
      <c r="Y148" s="173">
        <f t="shared" ref="Y148" si="46">SUM(Y141:Y147)</f>
        <v>0</v>
      </c>
      <c r="Z148" s="173">
        <f t="shared" ref="Z148" si="47">SUM(Z141:Z147)</f>
        <v>0</v>
      </c>
      <c r="AA148" s="174">
        <f>SUM(E148:Z148)</f>
        <v>4</v>
      </c>
      <c r="AB148" s="173">
        <f>+AB143+AB144+AB145+AB146+AB147</f>
        <v>0</v>
      </c>
      <c r="AC148" s="173">
        <f>+AC143+AC144+AC145+AC146+AC147</f>
        <v>0</v>
      </c>
      <c r="AD148" s="173">
        <f t="shared" ref="AD148:AG148" si="48">+AD143+AD144+AD145+AD146+AD147</f>
        <v>0</v>
      </c>
      <c r="AE148" s="173">
        <f t="shared" si="48"/>
        <v>0</v>
      </c>
      <c r="AF148" s="173">
        <f>+AF143+AF144+AF145+AF146+AF147</f>
        <v>0</v>
      </c>
      <c r="AG148" s="173">
        <f t="shared" si="48"/>
        <v>0</v>
      </c>
    </row>
    <row r="149" spans="1:34" x14ac:dyDescent="0.25">
      <c r="A149" s="209" t="s">
        <v>245</v>
      </c>
      <c r="B149" s="210"/>
      <c r="C149" s="210"/>
      <c r="D149" s="211"/>
      <c r="E149" s="175">
        <f t="shared" ref="E149:X149" si="49">E148*E5</f>
        <v>0</v>
      </c>
      <c r="F149" s="175">
        <f t="shared" si="49"/>
        <v>78707385.767304003</v>
      </c>
      <c r="G149" s="175">
        <f t="shared" si="49"/>
        <v>0</v>
      </c>
      <c r="H149" s="175">
        <f t="shared" si="49"/>
        <v>0</v>
      </c>
      <c r="I149" s="175">
        <f t="shared" si="49"/>
        <v>0</v>
      </c>
      <c r="J149" s="175">
        <f t="shared" si="49"/>
        <v>0</v>
      </c>
      <c r="K149" s="175">
        <f t="shared" si="49"/>
        <v>0</v>
      </c>
      <c r="L149" s="175">
        <f t="shared" si="49"/>
        <v>0</v>
      </c>
      <c r="M149" s="175">
        <f t="shared" si="49"/>
        <v>0</v>
      </c>
      <c r="N149" s="175">
        <f t="shared" si="49"/>
        <v>0</v>
      </c>
      <c r="O149" s="175">
        <f t="shared" si="49"/>
        <v>0</v>
      </c>
      <c r="P149" s="175">
        <f t="shared" si="49"/>
        <v>0</v>
      </c>
      <c r="Q149" s="175">
        <f t="shared" si="49"/>
        <v>0</v>
      </c>
      <c r="R149" s="175">
        <f t="shared" si="49"/>
        <v>0</v>
      </c>
      <c r="S149" s="175">
        <f t="shared" si="49"/>
        <v>0</v>
      </c>
      <c r="T149" s="175">
        <f t="shared" si="49"/>
        <v>0</v>
      </c>
      <c r="U149" s="175">
        <f t="shared" si="49"/>
        <v>0</v>
      </c>
      <c r="V149" s="175">
        <f t="shared" si="49"/>
        <v>0</v>
      </c>
      <c r="W149" s="175">
        <f t="shared" si="49"/>
        <v>0</v>
      </c>
      <c r="X149" s="175">
        <f t="shared" si="49"/>
        <v>0</v>
      </c>
      <c r="Y149" s="175">
        <f>Y148*Y17</f>
        <v>0</v>
      </c>
      <c r="Z149" s="175">
        <f>Z148*Z17</f>
        <v>0</v>
      </c>
      <c r="AA149" s="176">
        <f>SUM(E149:Z149)</f>
        <v>78707385.767304003</v>
      </c>
      <c r="AB149" s="175">
        <f t="shared" ref="AB149:AG149" si="50">AB148*AB5</f>
        <v>0</v>
      </c>
      <c r="AC149" s="175">
        <f t="shared" si="50"/>
        <v>0</v>
      </c>
      <c r="AD149" s="175">
        <f t="shared" si="50"/>
        <v>0</v>
      </c>
      <c r="AE149" s="175">
        <f t="shared" si="50"/>
        <v>0</v>
      </c>
      <c r="AF149" s="175">
        <f t="shared" si="50"/>
        <v>0</v>
      </c>
      <c r="AG149" s="175">
        <f t="shared" si="50"/>
        <v>0</v>
      </c>
    </row>
    <row r="150" spans="1:34" ht="15.75" thickBot="1" x14ac:dyDescent="0.3">
      <c r="A150" s="212" t="s">
        <v>238</v>
      </c>
      <c r="B150" s="213"/>
      <c r="C150" s="213"/>
      <c r="D150" s="214"/>
      <c r="E150" s="177">
        <f t="shared" ref="E150:X150" si="51">+E136+E148</f>
        <v>8</v>
      </c>
      <c r="F150" s="177">
        <f t="shared" si="51"/>
        <v>237</v>
      </c>
      <c r="G150" s="177">
        <f t="shared" si="51"/>
        <v>12</v>
      </c>
      <c r="H150" s="177">
        <f t="shared" si="51"/>
        <v>2</v>
      </c>
      <c r="I150" s="177">
        <f t="shared" si="51"/>
        <v>0</v>
      </c>
      <c r="J150" s="177">
        <f t="shared" si="51"/>
        <v>0</v>
      </c>
      <c r="K150" s="177">
        <f t="shared" si="51"/>
        <v>0</v>
      </c>
      <c r="L150" s="177">
        <f t="shared" si="51"/>
        <v>5</v>
      </c>
      <c r="M150" s="177">
        <f t="shared" si="51"/>
        <v>0</v>
      </c>
      <c r="N150" s="177">
        <f t="shared" si="51"/>
        <v>11</v>
      </c>
      <c r="O150" s="177">
        <f t="shared" si="51"/>
        <v>4</v>
      </c>
      <c r="P150" s="177">
        <f t="shared" si="51"/>
        <v>3</v>
      </c>
      <c r="Q150" s="177">
        <f t="shared" si="51"/>
        <v>7</v>
      </c>
      <c r="R150" s="177">
        <f t="shared" si="51"/>
        <v>3</v>
      </c>
      <c r="S150" s="177">
        <f t="shared" si="51"/>
        <v>0</v>
      </c>
      <c r="T150" s="177">
        <f t="shared" si="51"/>
        <v>4</v>
      </c>
      <c r="U150" s="177">
        <f t="shared" si="51"/>
        <v>1</v>
      </c>
      <c r="V150" s="177">
        <f t="shared" si="51"/>
        <v>1</v>
      </c>
      <c r="W150" s="177">
        <f t="shared" si="51"/>
        <v>0</v>
      </c>
      <c r="X150" s="177">
        <f t="shared" si="51"/>
        <v>1</v>
      </c>
      <c r="Y150" s="177">
        <f>+Y45+Y60+Y82+Y92+Y108+Y124+Y135+Y148</f>
        <v>0</v>
      </c>
      <c r="Z150" s="177">
        <f>+Z45+Z60+Z82+Z92+Z108+Z124+Z135+Z148</f>
        <v>0</v>
      </c>
      <c r="AA150" s="178">
        <f>SUM(E150:Z150)</f>
        <v>299</v>
      </c>
      <c r="AB150" s="177">
        <f t="shared" ref="AB150:AG150" si="52">+AB136+AB148</f>
        <v>1222</v>
      </c>
      <c r="AC150" s="177">
        <f t="shared" si="52"/>
        <v>109</v>
      </c>
      <c r="AD150" s="177">
        <f t="shared" si="52"/>
        <v>90</v>
      </c>
      <c r="AE150" s="177">
        <f t="shared" si="52"/>
        <v>86</v>
      </c>
      <c r="AF150" s="177">
        <f t="shared" si="52"/>
        <v>41</v>
      </c>
      <c r="AG150" s="177">
        <f t="shared" si="52"/>
        <v>127</v>
      </c>
      <c r="AH150" s="179">
        <f>SUM(AB150:AG150)</f>
        <v>1675</v>
      </c>
    </row>
    <row r="151" spans="1:34" ht="15.75" thickBot="1" x14ac:dyDescent="0.3">
      <c r="A151" s="215" t="s">
        <v>246</v>
      </c>
      <c r="B151" s="216"/>
      <c r="C151" s="216"/>
      <c r="D151" s="217"/>
      <c r="E151" s="180">
        <f>+E139+E149</f>
        <v>160329859.44</v>
      </c>
      <c r="F151" s="180">
        <f t="shared" ref="F151:AG151" si="53">+F139+F149</f>
        <v>4661578160.9493046</v>
      </c>
      <c r="G151" s="180">
        <f t="shared" si="53"/>
        <v>236122157.04800001</v>
      </c>
      <c r="H151" s="180">
        <f t="shared" si="53"/>
        <v>40446850.910999998</v>
      </c>
      <c r="I151" s="180">
        <f t="shared" si="53"/>
        <v>0</v>
      </c>
      <c r="J151" s="180">
        <f t="shared" si="53"/>
        <v>0</v>
      </c>
      <c r="K151" s="180">
        <f t="shared" si="53"/>
        <v>0</v>
      </c>
      <c r="L151" s="180">
        <f t="shared" si="53"/>
        <v>60883740.64519491</v>
      </c>
      <c r="M151" s="180">
        <f t="shared" si="53"/>
        <v>0</v>
      </c>
      <c r="N151" s="180">
        <f t="shared" si="53"/>
        <v>106792111.81554304</v>
      </c>
      <c r="O151" s="180">
        <f t="shared" si="53"/>
        <v>34575548.734197907</v>
      </c>
      <c r="P151" s="180">
        <f t="shared" si="53"/>
        <v>17287774.367098954</v>
      </c>
      <c r="Q151" s="180">
        <f t="shared" si="53"/>
        <v>48405768.827877074</v>
      </c>
      <c r="R151" s="180">
        <f t="shared" si="53"/>
        <v>33098877.711351573</v>
      </c>
      <c r="S151" s="180">
        <f t="shared" si="53"/>
        <v>0</v>
      </c>
      <c r="T151" s="180">
        <f t="shared" si="53"/>
        <v>44949093.175909542</v>
      </c>
      <c r="U151" s="180">
        <f t="shared" si="53"/>
        <v>7638989.5161640001</v>
      </c>
      <c r="V151" s="180">
        <f t="shared" si="53"/>
        <v>7500098.5249610189</v>
      </c>
      <c r="W151" s="180">
        <f t="shared" si="53"/>
        <v>0</v>
      </c>
      <c r="X151" s="180">
        <f t="shared" si="53"/>
        <v>4524115.0312263872</v>
      </c>
      <c r="Y151" s="180">
        <f t="shared" si="53"/>
        <v>0</v>
      </c>
      <c r="Z151" s="180">
        <f t="shared" si="53"/>
        <v>0</v>
      </c>
      <c r="AA151" s="153">
        <f>SUM(E151:Z151)</f>
        <v>5464133146.6978292</v>
      </c>
      <c r="AB151" s="180">
        <f t="shared" si="53"/>
        <v>36666452.666666672</v>
      </c>
      <c r="AC151" s="180">
        <f t="shared" si="53"/>
        <v>12647951.666666668</v>
      </c>
      <c r="AD151" s="180">
        <f t="shared" si="53"/>
        <v>13416723</v>
      </c>
      <c r="AE151" s="180">
        <f t="shared" si="53"/>
        <v>9322673.333333334</v>
      </c>
      <c r="AF151" s="180">
        <f t="shared" si="53"/>
        <v>14010208.666666666</v>
      </c>
      <c r="AG151" s="180">
        <f t="shared" si="53"/>
        <v>14551715</v>
      </c>
      <c r="AH151" s="153">
        <f>SUM(AB151:AG151)</f>
        <v>100615724.33333334</v>
      </c>
    </row>
    <row r="152" spans="1:34" x14ac:dyDescent="0.25">
      <c r="C152" s="181"/>
    </row>
    <row r="153" spans="1:34" ht="15.75" x14ac:dyDescent="0.25">
      <c r="A153" s="218" t="s">
        <v>247</v>
      </c>
      <c r="B153" s="218"/>
      <c r="C153" s="218"/>
    </row>
    <row r="154" spans="1:34" x14ac:dyDescent="0.25">
      <c r="C154" s="181"/>
    </row>
    <row r="155" spans="1:34" ht="94.5" x14ac:dyDescent="0.25">
      <c r="B155" s="182" t="s">
        <v>252</v>
      </c>
      <c r="C155" s="182" t="s">
        <v>253</v>
      </c>
      <c r="D155" s="182" t="s">
        <v>252</v>
      </c>
      <c r="E155" s="182" t="s">
        <v>253</v>
      </c>
    </row>
    <row r="156" spans="1:34" ht="15.75" x14ac:dyDescent="0.25">
      <c r="B156" s="183">
        <f>+AA151</f>
        <v>5464133146.6978292</v>
      </c>
      <c r="C156" s="183">
        <f>+AH151</f>
        <v>100615724.33333334</v>
      </c>
      <c r="D156" s="183">
        <f>+B156*5</f>
        <v>27320665733.489147</v>
      </c>
      <c r="E156" s="183">
        <f>+C156*5</f>
        <v>503078621.66666675</v>
      </c>
    </row>
  </sheetData>
  <mergeCells count="34">
    <mergeCell ref="A149:D149"/>
    <mergeCell ref="A150:D150"/>
    <mergeCell ref="A151:D151"/>
    <mergeCell ref="A153:C153"/>
    <mergeCell ref="A136:D136"/>
    <mergeCell ref="A137:D137"/>
    <mergeCell ref="A138:D138"/>
    <mergeCell ref="A139:D139"/>
    <mergeCell ref="A141:D141"/>
    <mergeCell ref="A148:D148"/>
    <mergeCell ref="A135:D135"/>
    <mergeCell ref="A83:D83"/>
    <mergeCell ref="A96:D96"/>
    <mergeCell ref="B98:C98"/>
    <mergeCell ref="A99:D99"/>
    <mergeCell ref="A112:D112"/>
    <mergeCell ref="B114:C114"/>
    <mergeCell ref="A115:D115"/>
    <mergeCell ref="A123:D123"/>
    <mergeCell ref="B125:C125"/>
    <mergeCell ref="A126:D126"/>
    <mergeCell ref="A134:D134"/>
    <mergeCell ref="B82:C82"/>
    <mergeCell ref="A2:C5"/>
    <mergeCell ref="A33:D33"/>
    <mergeCell ref="B35:C35"/>
    <mergeCell ref="A36:D36"/>
    <mergeCell ref="A48:D48"/>
    <mergeCell ref="B50:C50"/>
    <mergeCell ref="A51:D51"/>
    <mergeCell ref="A70:D70"/>
    <mergeCell ref="B72:C72"/>
    <mergeCell ref="A73:D73"/>
    <mergeCell ref="A80:D80"/>
  </mergeCells>
  <conditionalFormatting sqref="AB152:AG1048576">
    <cfRule type="cellIs" dxfId="0" priority="1" operator="greaterThan">
      <formula>0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E00E1-C5B3-433C-97B0-F7C35A01BEC4}">
  <dimension ref="B1:G19"/>
  <sheetViews>
    <sheetView topLeftCell="B1" workbookViewId="0">
      <selection activeCell="G13" sqref="G13"/>
    </sheetView>
  </sheetViews>
  <sheetFormatPr baseColWidth="10" defaultColWidth="10.7109375" defaultRowHeight="15" x14ac:dyDescent="0.25"/>
  <cols>
    <col min="3" max="3" width="19.28515625" bestFit="1" customWidth="1"/>
    <col min="4" max="4" width="21.42578125" bestFit="1" customWidth="1"/>
    <col min="5" max="5" width="14.42578125" bestFit="1" customWidth="1"/>
    <col min="6" max="6" width="19.28515625" customWidth="1"/>
    <col min="7" max="7" width="19.28515625" bestFit="1" customWidth="1"/>
    <col min="8" max="8" width="11.85546875" bestFit="1" customWidth="1"/>
  </cols>
  <sheetData>
    <row r="1" spans="2:7" x14ac:dyDescent="0.25">
      <c r="B1" s="185" t="s">
        <v>268</v>
      </c>
      <c r="C1" s="185" t="s">
        <v>266</v>
      </c>
      <c r="D1" s="185" t="s">
        <v>267</v>
      </c>
    </row>
    <row r="2" spans="2:7" x14ac:dyDescent="0.25">
      <c r="B2" t="s">
        <v>254</v>
      </c>
      <c r="C2" s="52">
        <v>4531534657.946661</v>
      </c>
      <c r="D2" s="52">
        <f>+(100615725.34/30)*26</f>
        <v>87200295.294666663</v>
      </c>
    </row>
    <row r="3" spans="2:7" x14ac:dyDescent="0.25">
      <c r="B3" t="s">
        <v>255</v>
      </c>
      <c r="C3" s="52">
        <v>5228693836.0923014</v>
      </c>
      <c r="D3" s="198">
        <v>100615725.34</v>
      </c>
    </row>
    <row r="4" spans="2:7" x14ac:dyDescent="0.25">
      <c r="B4" t="s">
        <v>256</v>
      </c>
      <c r="C4" s="52">
        <v>5228693836.0923014</v>
      </c>
      <c r="D4" s="198">
        <v>100615725.34</v>
      </c>
      <c r="F4" s="188" t="s">
        <v>271</v>
      </c>
      <c r="G4" s="189">
        <v>48095104061</v>
      </c>
    </row>
    <row r="5" spans="2:7" x14ac:dyDescent="0.25">
      <c r="B5" t="s">
        <v>257</v>
      </c>
      <c r="C5" s="52">
        <v>2465726109.5221872</v>
      </c>
      <c r="D5" s="52">
        <f>+(100615725.34/30)*14</f>
        <v>46954005.15866667</v>
      </c>
      <c r="F5" s="188" t="s">
        <v>272</v>
      </c>
      <c r="G5" s="190">
        <f>+G4-D13</f>
        <v>75834657.242401123</v>
      </c>
    </row>
    <row r="6" spans="2:7" x14ac:dyDescent="0.25">
      <c r="B6" t="s">
        <v>258</v>
      </c>
      <c r="C6" s="52">
        <v>2908304019.8041177</v>
      </c>
      <c r="D6" s="52">
        <f>+(100615725.34/30)*16</f>
        <v>53661720.181333333</v>
      </c>
      <c r="G6" s="52"/>
    </row>
    <row r="7" spans="2:7" x14ac:dyDescent="0.25">
      <c r="B7" t="s">
        <v>259</v>
      </c>
      <c r="C7" s="52">
        <v>5464133146.6978292</v>
      </c>
      <c r="D7" s="198">
        <v>100615725.34</v>
      </c>
      <c r="E7" s="198"/>
      <c r="G7" s="186"/>
    </row>
    <row r="8" spans="2:7" x14ac:dyDescent="0.25">
      <c r="B8" t="s">
        <v>260</v>
      </c>
      <c r="C8" s="52">
        <v>5464133146.6978292</v>
      </c>
      <c r="D8" s="52">
        <f>+D7</f>
        <v>100615725.34</v>
      </c>
    </row>
    <row r="9" spans="2:7" x14ac:dyDescent="0.25">
      <c r="B9" t="s">
        <v>261</v>
      </c>
      <c r="C9" s="52">
        <v>5464133146.6978292</v>
      </c>
      <c r="D9" s="52">
        <f>+D7</f>
        <v>100615725.34</v>
      </c>
    </row>
    <row r="10" spans="2:7" x14ac:dyDescent="0.25">
      <c r="B10" t="s">
        <v>262</v>
      </c>
      <c r="C10" s="52">
        <v>5464133146.6978292</v>
      </c>
      <c r="D10" s="52">
        <f>+D7</f>
        <v>100615725.34</v>
      </c>
    </row>
    <row r="11" spans="2:7" x14ac:dyDescent="0.25">
      <c r="B11" t="s">
        <v>263</v>
      </c>
      <c r="C11" s="52">
        <v>4917719832.0280466</v>
      </c>
      <c r="D11" s="52">
        <f>+(D7/30)*27</f>
        <v>90554152.805999994</v>
      </c>
    </row>
    <row r="12" spans="2:7" x14ac:dyDescent="0.25">
      <c r="B12" s="75" t="s">
        <v>269</v>
      </c>
      <c r="C12" s="76">
        <f>SUM(C2:C11)</f>
        <v>47137204878.276932</v>
      </c>
      <c r="D12" s="76">
        <f>SUM(D2:D11)</f>
        <v>882064525.48066688</v>
      </c>
    </row>
    <row r="13" spans="2:7" ht="33.950000000000003" customHeight="1" x14ac:dyDescent="0.25">
      <c r="B13" s="228" t="s">
        <v>270</v>
      </c>
      <c r="C13" s="228"/>
      <c r="D13" s="187">
        <f>+C12+D12</f>
        <v>48019269403.757599</v>
      </c>
    </row>
    <row r="19" spans="4:4" x14ac:dyDescent="0.25">
      <c r="D19" s="186"/>
    </row>
  </sheetData>
  <mergeCells count="1">
    <mergeCell ref="B13:C13"/>
  </mergeCells>
  <pageMargins left="0.7" right="0.7" top="0.75" bottom="0.75" header="0.3" footer="0.3"/>
  <ignoredErrors>
    <ignoredError sqref="B5:B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ZONA 1 9,77</vt:lpstr>
      <vt:lpstr>ZONA 1 9,85 POR 14 DÍAS</vt:lpstr>
      <vt:lpstr>ZONA 1 10,21 POR 16 DÍAS</vt:lpstr>
      <vt:lpstr>ZONA 1 10,21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Armando Rodriguez Forero</dc:creator>
  <cp:lastModifiedBy>Jhanerys Paola Gomez Bayona</cp:lastModifiedBy>
  <dcterms:created xsi:type="dcterms:W3CDTF">2026-01-22T23:45:30Z</dcterms:created>
  <dcterms:modified xsi:type="dcterms:W3CDTF">2026-02-17T20:56:59Z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2026-01-23T00:01:55Z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ab76c18e-0db7-4376-b91d-f6964eb5715b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