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 VIGILANCIA\CONTRATO N°4785-2024 DINAPOWER LTDA\FACTURACION\2026\FEBRERO 2026\"/>
    </mc:Choice>
  </mc:AlternateContent>
  <bookViews>
    <workbookView xWindow="0" yWindow="0" windowWidth="24000" windowHeight="8535" firstSheet="1" activeTab="1"/>
  </bookViews>
  <sheets>
    <sheet name="Hoja2" sheetId="9" state="hidden" r:id="rId1"/>
    <sheet name="SERVICIOS ENERO 2026" sheetId="19" r:id="rId2"/>
    <sheet name="Enero 2023 (3)" sheetId="7" state="hidden" r:id="rId3"/>
    <sheet name="Hoja1" sheetId="8" state="hidden" r:id="rId4"/>
    <sheet name="Enero 2023 (2)" sheetId="6" state="hidden" r:id="rId5"/>
    <sheet name="Mayo 2022 -sepecol" sheetId="5" state="hidden" r:id="rId6"/>
  </sheets>
  <definedNames>
    <definedName name="_xlnm._FilterDatabase" localSheetId="4" hidden="1">'Enero 2023 (2)'!$B$7:$X$153</definedName>
    <definedName name="_xlnm._FilterDatabase" localSheetId="2" hidden="1">'Enero 2023 (3)'!$B$7:$V$153</definedName>
    <definedName name="_xlnm._FilterDatabase" localSheetId="5" hidden="1">'Mayo 2022 -sepecol'!$B$6:$P$151</definedName>
    <definedName name="_xlnm._FilterDatabase" localSheetId="1" hidden="1">'SERVICIOS ENERO 2026'!$B$7:$Q$147</definedName>
    <definedName name="_xlnm.Print_Area" localSheetId="4">'Enero 2023 (2)'!$A$1:$R$156</definedName>
    <definedName name="_xlnm.Print_Area" localSheetId="2">'Enero 2023 (3)'!$A$1:$P$156</definedName>
    <definedName name="_xlnm.Print_Area" localSheetId="5">'Mayo 2022 -sepecol'!$A$1:$O$151</definedName>
    <definedName name="_xlnm.Print_Area" localSheetId="1">'SERVICIOS ENERO 2026'!$A$1:$Q$159</definedName>
    <definedName name="_xlnm.Print_Titles" localSheetId="4">'Enero 2023 (2)'!$3:$7</definedName>
    <definedName name="_xlnm.Print_Titles" localSheetId="2">'Enero 2023 (3)'!$3:$7</definedName>
    <definedName name="_xlnm.Print_Titles" localSheetId="5">'Mayo 2022 -sepecol'!$3:$6</definedName>
    <definedName name="_xlnm.Print_Titles" localSheetId="1">'SERVICIOS ENERO 2026'!$3:$7</definedName>
  </definedNames>
  <calcPr calcId="152511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0" i="19" l="1"/>
  <c r="S92" i="19" l="1"/>
  <c r="S93" i="19"/>
  <c r="S94" i="19"/>
  <c r="S95" i="19"/>
  <c r="S96" i="19"/>
  <c r="S97" i="19"/>
  <c r="S98" i="19"/>
  <c r="S99" i="19"/>
  <c r="S100" i="19"/>
  <c r="S101" i="19"/>
  <c r="S91" i="19"/>
  <c r="S52" i="19"/>
  <c r="S53" i="19"/>
  <c r="S54" i="19"/>
  <c r="S57" i="19"/>
  <c r="S51" i="19"/>
  <c r="S48" i="19"/>
  <c r="S46" i="19"/>
  <c r="K146" i="19" l="1"/>
  <c r="J146" i="19"/>
  <c r="M146" i="19" s="1"/>
  <c r="N146" i="19" s="1"/>
  <c r="O146" i="19" l="1"/>
  <c r="P146" i="19" s="1"/>
  <c r="Q146" i="19" s="1"/>
  <c r="T146" i="19" s="1"/>
  <c r="J77" i="19"/>
  <c r="J27" i="19" l="1"/>
  <c r="J145" i="19"/>
  <c r="K70" i="19" l="1"/>
  <c r="K66" i="19"/>
  <c r="K115" i="19"/>
  <c r="K74" i="19"/>
  <c r="K19" i="19"/>
  <c r="J70" i="19"/>
  <c r="J66" i="19"/>
  <c r="J115" i="19"/>
  <c r="J74" i="19"/>
  <c r="J19" i="19"/>
  <c r="J140" i="19"/>
  <c r="J139" i="19"/>
  <c r="J138" i="19"/>
  <c r="J137" i="19"/>
  <c r="J136" i="19"/>
  <c r="J135" i="19"/>
  <c r="J134" i="19"/>
  <c r="J133" i="19"/>
  <c r="J129" i="19"/>
  <c r="J128" i="19"/>
  <c r="J122" i="19"/>
  <c r="J121" i="19"/>
  <c r="J120" i="19"/>
  <c r="J119" i="19"/>
  <c r="J118" i="19"/>
  <c r="J116" i="19"/>
  <c r="J114" i="19"/>
  <c r="J107" i="19"/>
  <c r="J106" i="19"/>
  <c r="J105" i="19"/>
  <c r="J104" i="19"/>
  <c r="J103" i="19"/>
  <c r="J102" i="19"/>
  <c r="J101" i="19"/>
  <c r="J100" i="19"/>
  <c r="J99" i="19"/>
  <c r="J98" i="19"/>
  <c r="J97" i="19"/>
  <c r="J96" i="19"/>
  <c r="J95" i="19"/>
  <c r="J94" i="19"/>
  <c r="J93" i="19"/>
  <c r="J92" i="19"/>
  <c r="J91" i="19"/>
  <c r="J89" i="19"/>
  <c r="J88" i="19"/>
  <c r="J84" i="19"/>
  <c r="J83" i="19"/>
  <c r="J82" i="19"/>
  <c r="J81" i="19"/>
  <c r="J80" i="19"/>
  <c r="J79" i="19"/>
  <c r="J78" i="19"/>
  <c r="J76" i="19"/>
  <c r="J73" i="19"/>
  <c r="J71" i="19"/>
  <c r="J69" i="19"/>
  <c r="J68" i="19"/>
  <c r="J67" i="19"/>
  <c r="J64" i="19"/>
  <c r="J63" i="19"/>
  <c r="J62" i="19"/>
  <c r="J61" i="19"/>
  <c r="J60" i="19"/>
  <c r="J57" i="19"/>
  <c r="J54" i="19"/>
  <c r="J53" i="19"/>
  <c r="J52" i="19"/>
  <c r="J51" i="19"/>
  <c r="J50" i="19"/>
  <c r="J49" i="19"/>
  <c r="J47" i="19"/>
  <c r="J45" i="19"/>
  <c r="J43" i="19"/>
  <c r="J39" i="19"/>
  <c r="J38" i="19"/>
  <c r="J37" i="19"/>
  <c r="J36" i="19"/>
  <c r="J35" i="19"/>
  <c r="J34" i="19"/>
  <c r="J33" i="19"/>
  <c r="J32" i="19"/>
  <c r="J31" i="19"/>
  <c r="J30" i="19"/>
  <c r="J29" i="19"/>
  <c r="J26" i="19"/>
  <c r="J23" i="19"/>
  <c r="J22" i="19"/>
  <c r="J21" i="19"/>
  <c r="J18" i="19"/>
  <c r="J12" i="19"/>
  <c r="K126" i="19" l="1"/>
  <c r="J126" i="19"/>
  <c r="K113" i="19" l="1"/>
  <c r="K20" i="19"/>
  <c r="K15" i="19"/>
  <c r="J113" i="19"/>
  <c r="J20" i="19"/>
  <c r="J15" i="19"/>
  <c r="J59" i="19" l="1"/>
  <c r="J58" i="19"/>
  <c r="K143" i="19"/>
  <c r="K132" i="19"/>
  <c r="J143" i="19"/>
  <c r="J132" i="19"/>
  <c r="K131" i="19"/>
  <c r="J131" i="19"/>
  <c r="K130" i="19"/>
  <c r="J130" i="19"/>
  <c r="K117" i="19"/>
  <c r="J117" i="19"/>
  <c r="K112" i="19"/>
  <c r="J112" i="19"/>
  <c r="K111" i="19"/>
  <c r="J111" i="19"/>
  <c r="K110" i="19"/>
  <c r="J110" i="19"/>
  <c r="K109" i="19"/>
  <c r="J109" i="19"/>
  <c r="K87" i="19"/>
  <c r="J87" i="19"/>
  <c r="K86" i="19"/>
  <c r="J86" i="19"/>
  <c r="K72" i="19"/>
  <c r="J72" i="19"/>
  <c r="K42" i="19"/>
  <c r="J42" i="19"/>
  <c r="K41" i="19"/>
  <c r="J41" i="19"/>
  <c r="K25" i="19"/>
  <c r="J25" i="19"/>
  <c r="K13" i="19"/>
  <c r="J13" i="19"/>
  <c r="K11" i="19"/>
  <c r="J11" i="19"/>
  <c r="J142" i="19"/>
  <c r="J141" i="19"/>
  <c r="J125" i="19"/>
  <c r="J124" i="19"/>
  <c r="J123" i="19"/>
  <c r="J90" i="19"/>
  <c r="J85" i="19"/>
  <c r="J75" i="19"/>
  <c r="J65" i="19"/>
  <c r="J56" i="19"/>
  <c r="J55" i="19"/>
  <c r="J48" i="19"/>
  <c r="J46" i="19"/>
  <c r="J44" i="19"/>
  <c r="J40" i="19"/>
  <c r="J24" i="19"/>
  <c r="J17" i="19"/>
  <c r="J16" i="19"/>
  <c r="J14" i="19"/>
  <c r="J10" i="19"/>
  <c r="J8" i="19"/>
  <c r="J9" i="19" l="1"/>
  <c r="K140" i="19" l="1"/>
  <c r="K139" i="19"/>
  <c r="K137" i="19"/>
  <c r="K136" i="19"/>
  <c r="K135" i="19"/>
  <c r="K134" i="19"/>
  <c r="K133" i="19"/>
  <c r="K129" i="19"/>
  <c r="K128" i="19"/>
  <c r="K122" i="19"/>
  <c r="K121" i="19"/>
  <c r="K120" i="19"/>
  <c r="K119" i="19"/>
  <c r="K118" i="19"/>
  <c r="K116" i="19"/>
  <c r="K114" i="19"/>
  <c r="K107" i="19"/>
  <c r="K106" i="19"/>
  <c r="K105" i="19"/>
  <c r="K104" i="19"/>
  <c r="K103" i="19"/>
  <c r="K102" i="19"/>
  <c r="K101" i="19"/>
  <c r="K100" i="19"/>
  <c r="K99" i="19"/>
  <c r="K98" i="19"/>
  <c r="K97" i="19"/>
  <c r="K96" i="19"/>
  <c r="K95" i="19"/>
  <c r="K94" i="19"/>
  <c r="K93" i="19"/>
  <c r="K92" i="19"/>
  <c r="K91" i="19"/>
  <c r="K89" i="19"/>
  <c r="K88" i="19"/>
  <c r="K84" i="19"/>
  <c r="K83" i="19"/>
  <c r="K82" i="19"/>
  <c r="K81" i="19"/>
  <c r="K80" i="19"/>
  <c r="K79" i="19"/>
  <c r="K78" i="19"/>
  <c r="K73" i="19"/>
  <c r="K71" i="19"/>
  <c r="K69" i="19"/>
  <c r="K68" i="19"/>
  <c r="K67" i="19"/>
  <c r="K64" i="19"/>
  <c r="K63" i="19"/>
  <c r="K62" i="19"/>
  <c r="K61" i="19"/>
  <c r="K60" i="19"/>
  <c r="K57" i="19"/>
  <c r="K54" i="19"/>
  <c r="K53" i="19"/>
  <c r="K52" i="19"/>
  <c r="K51" i="19"/>
  <c r="K50" i="19"/>
  <c r="K49" i="19"/>
  <c r="K47" i="19"/>
  <c r="K45" i="19"/>
  <c r="K43" i="19"/>
  <c r="K39" i="19"/>
  <c r="K38" i="19"/>
  <c r="K37" i="19"/>
  <c r="K36" i="19"/>
  <c r="K35" i="19"/>
  <c r="K34" i="19"/>
  <c r="K33" i="19"/>
  <c r="K32" i="19"/>
  <c r="K31" i="19"/>
  <c r="K30" i="19"/>
  <c r="K29" i="19"/>
  <c r="K26" i="19"/>
  <c r="K23" i="19"/>
  <c r="K22" i="19"/>
  <c r="K21" i="19"/>
  <c r="K18" i="19"/>
  <c r="K12" i="19"/>
  <c r="K9" i="19"/>
  <c r="K138" i="19"/>
  <c r="K59" i="19"/>
  <c r="K58" i="19"/>
  <c r="K142" i="19"/>
  <c r="K141" i="19"/>
  <c r="K125" i="19"/>
  <c r="K124" i="19"/>
  <c r="K123" i="19"/>
  <c r="K90" i="19"/>
  <c r="K85" i="19"/>
  <c r="K75" i="19"/>
  <c r="K65" i="19"/>
  <c r="K56" i="19"/>
  <c r="K55" i="19"/>
  <c r="K48" i="19"/>
  <c r="K46" i="19"/>
  <c r="K44" i="19"/>
  <c r="K40" i="19"/>
  <c r="K24" i="19"/>
  <c r="K17" i="19"/>
  <c r="K16" i="19"/>
  <c r="K14" i="19"/>
  <c r="K10" i="19"/>
  <c r="K8" i="19"/>
  <c r="K145" i="19"/>
  <c r="K27" i="19"/>
  <c r="M19" i="19" l="1"/>
  <c r="N19" i="19" s="1"/>
  <c r="M66" i="19"/>
  <c r="N66" i="19" s="1"/>
  <c r="M9" i="19"/>
  <c r="N9" i="19" s="1"/>
  <c r="M138" i="19"/>
  <c r="N138" i="19" s="1"/>
  <c r="M126" i="19"/>
  <c r="N126" i="19" s="1"/>
  <c r="M15" i="19"/>
  <c r="N15" i="19" s="1"/>
  <c r="M59" i="19"/>
  <c r="N59" i="19" s="1"/>
  <c r="M58" i="19"/>
  <c r="N58" i="19" s="1"/>
  <c r="M145" i="19"/>
  <c r="N145" i="19" s="1"/>
  <c r="M27" i="19"/>
  <c r="N27" i="19" s="1"/>
  <c r="M132" i="19"/>
  <c r="N132" i="19" s="1"/>
  <c r="M131" i="19"/>
  <c r="N131" i="19" s="1"/>
  <c r="M130" i="19"/>
  <c r="N130" i="19" s="1"/>
  <c r="M117" i="19"/>
  <c r="N117" i="19" s="1"/>
  <c r="M112" i="19"/>
  <c r="M111" i="19"/>
  <c r="N111" i="19" s="1"/>
  <c r="M110" i="19"/>
  <c r="N110" i="19" s="1"/>
  <c r="M109" i="19"/>
  <c r="N109" i="19" s="1"/>
  <c r="M87" i="19"/>
  <c r="N87" i="19" s="1"/>
  <c r="M86" i="19"/>
  <c r="N86" i="19" s="1"/>
  <c r="M77" i="19"/>
  <c r="N77" i="19" s="1"/>
  <c r="M72" i="19"/>
  <c r="N72" i="19" s="1"/>
  <c r="M42" i="19"/>
  <c r="N42" i="19" s="1"/>
  <c r="M41" i="19"/>
  <c r="N41" i="19" s="1"/>
  <c r="M25" i="19"/>
  <c r="N25" i="19" s="1"/>
  <c r="M13" i="19"/>
  <c r="N13" i="19" s="1"/>
  <c r="M11" i="19"/>
  <c r="N11" i="19" s="1"/>
  <c r="M123" i="19"/>
  <c r="M63" i="19"/>
  <c r="N63" i="19" s="1"/>
  <c r="S147" i="19"/>
  <c r="R147" i="19"/>
  <c r="S144" i="19"/>
  <c r="R144" i="19"/>
  <c r="G144" i="19"/>
  <c r="E144" i="19"/>
  <c r="R127" i="19"/>
  <c r="G127" i="19"/>
  <c r="E127" i="19"/>
  <c r="R108" i="19"/>
  <c r="G108" i="19"/>
  <c r="E108" i="19"/>
  <c r="R28" i="19"/>
  <c r="G28" i="19"/>
  <c r="E28" i="19"/>
  <c r="M24" i="19" l="1"/>
  <c r="N24" i="19" s="1"/>
  <c r="M75" i="19"/>
  <c r="N75" i="19" s="1"/>
  <c r="O75" i="19" s="1"/>
  <c r="P75" i="19" s="1"/>
  <c r="Q75" i="19" s="1"/>
  <c r="N112" i="19"/>
  <c r="O112" i="19" s="1"/>
  <c r="P112" i="19" s="1"/>
  <c r="M74" i="19"/>
  <c r="N74" i="19" s="1"/>
  <c r="M85" i="19"/>
  <c r="N85" i="19" s="1"/>
  <c r="O85" i="19" s="1"/>
  <c r="P85" i="19" s="1"/>
  <c r="Q85" i="19" s="1"/>
  <c r="T85" i="19" s="1"/>
  <c r="M115" i="19"/>
  <c r="N115" i="19" s="1"/>
  <c r="O115" i="19" s="1"/>
  <c r="P115" i="19" s="1"/>
  <c r="Q115" i="19" s="1"/>
  <c r="T115" i="19" s="1"/>
  <c r="M44" i="19"/>
  <c r="N44" i="19" s="1"/>
  <c r="M90" i="19"/>
  <c r="N90" i="19" s="1"/>
  <c r="M20" i="19"/>
  <c r="N20" i="19" s="1"/>
  <c r="M8" i="19"/>
  <c r="N8" i="19" s="1"/>
  <c r="M46" i="19"/>
  <c r="N46" i="19" s="1"/>
  <c r="N123" i="19"/>
  <c r="M10" i="19"/>
  <c r="N10" i="19" s="1"/>
  <c r="M48" i="19"/>
  <c r="N48" i="19" s="1"/>
  <c r="M124" i="19"/>
  <c r="N124" i="19" s="1"/>
  <c r="M143" i="19"/>
  <c r="N143" i="19" s="1"/>
  <c r="M14" i="19"/>
  <c r="N14" i="19" s="1"/>
  <c r="O14" i="19" s="1"/>
  <c r="P14" i="19" s="1"/>
  <c r="Q14" i="19" s="1"/>
  <c r="T14" i="19" s="1"/>
  <c r="M55" i="19"/>
  <c r="N55" i="19" s="1"/>
  <c r="O55" i="19" s="1"/>
  <c r="P55" i="19" s="1"/>
  <c r="Q55" i="19" s="1"/>
  <c r="T55" i="19" s="1"/>
  <c r="M125" i="19"/>
  <c r="N125" i="19" s="1"/>
  <c r="O125" i="19" s="1"/>
  <c r="P125" i="19" s="1"/>
  <c r="Q125" i="19" s="1"/>
  <c r="T125" i="19" s="1"/>
  <c r="M16" i="19"/>
  <c r="N16" i="19" s="1"/>
  <c r="M56" i="19"/>
  <c r="N56" i="19" s="1"/>
  <c r="O56" i="19" s="1"/>
  <c r="P56" i="19" s="1"/>
  <c r="Q56" i="19" s="1"/>
  <c r="T56" i="19" s="1"/>
  <c r="M141" i="19"/>
  <c r="N141" i="19" s="1"/>
  <c r="M70" i="19"/>
  <c r="N70" i="19" s="1"/>
  <c r="O70" i="19" s="1"/>
  <c r="P70" i="19" s="1"/>
  <c r="M17" i="19"/>
  <c r="N17" i="19" s="1"/>
  <c r="M65" i="19"/>
  <c r="N65" i="19" s="1"/>
  <c r="M142" i="19"/>
  <c r="N142" i="19" s="1"/>
  <c r="M49" i="19"/>
  <c r="N49" i="19" s="1"/>
  <c r="M128" i="19"/>
  <c r="N128" i="19" s="1"/>
  <c r="M94" i="19"/>
  <c r="N94" i="19" s="1"/>
  <c r="M12" i="19"/>
  <c r="N12" i="19" s="1"/>
  <c r="M43" i="19"/>
  <c r="N43" i="19" s="1"/>
  <c r="M54" i="19"/>
  <c r="N54" i="19" s="1"/>
  <c r="M95" i="19"/>
  <c r="N95" i="19" s="1"/>
  <c r="M120" i="19"/>
  <c r="N120" i="19" s="1"/>
  <c r="M39" i="19"/>
  <c r="N39" i="19" s="1"/>
  <c r="M18" i="19"/>
  <c r="N18" i="19" s="1"/>
  <c r="M45" i="19"/>
  <c r="N45" i="19" s="1"/>
  <c r="M57" i="19"/>
  <c r="N57" i="19" s="1"/>
  <c r="M73" i="19"/>
  <c r="N73" i="19" s="1"/>
  <c r="M84" i="19"/>
  <c r="N84" i="19" s="1"/>
  <c r="M96" i="19"/>
  <c r="N96" i="19" s="1"/>
  <c r="M104" i="19"/>
  <c r="N104" i="19" s="1"/>
  <c r="M137" i="19"/>
  <c r="N137" i="19" s="1"/>
  <c r="O137" i="19" s="1"/>
  <c r="P137" i="19" s="1"/>
  <c r="Q137" i="19" s="1"/>
  <c r="T137" i="19" s="1"/>
  <c r="M30" i="19"/>
  <c r="M38" i="19"/>
  <c r="N38" i="19" s="1"/>
  <c r="M53" i="19"/>
  <c r="N53" i="19" s="1"/>
  <c r="M69" i="19"/>
  <c r="N69" i="19" s="1"/>
  <c r="M82" i="19"/>
  <c r="N82" i="19" s="1"/>
  <c r="M102" i="19"/>
  <c r="N102" i="19" s="1"/>
  <c r="M31" i="19"/>
  <c r="N31" i="19" s="1"/>
  <c r="O31" i="19" s="1"/>
  <c r="P31" i="19" s="1"/>
  <c r="Q31" i="19" s="1"/>
  <c r="T31" i="19" s="1"/>
  <c r="M71" i="19"/>
  <c r="N71" i="19" s="1"/>
  <c r="O71" i="19" s="1"/>
  <c r="P71" i="19" s="1"/>
  <c r="Q71" i="19" s="1"/>
  <c r="T71" i="19" s="1"/>
  <c r="M83" i="19"/>
  <c r="N83" i="19" s="1"/>
  <c r="M103" i="19"/>
  <c r="N103" i="19" s="1"/>
  <c r="M136" i="19"/>
  <c r="N136" i="19" s="1"/>
  <c r="M21" i="19"/>
  <c r="N21" i="19" s="1"/>
  <c r="O21" i="19" s="1"/>
  <c r="P21" i="19" s="1"/>
  <c r="Q21" i="19" s="1"/>
  <c r="T21" i="19" s="1"/>
  <c r="M33" i="19"/>
  <c r="M47" i="19"/>
  <c r="N47" i="19" s="1"/>
  <c r="M60" i="19"/>
  <c r="N60" i="19" s="1"/>
  <c r="M76" i="19"/>
  <c r="N76" i="19" s="1"/>
  <c r="M88" i="19"/>
  <c r="M97" i="19"/>
  <c r="N97" i="19" s="1"/>
  <c r="M105" i="19"/>
  <c r="N105" i="19" s="1"/>
  <c r="M122" i="19"/>
  <c r="N122" i="19" s="1"/>
  <c r="O122" i="19" s="1"/>
  <c r="P122" i="19" s="1"/>
  <c r="M139" i="19"/>
  <c r="M62" i="19"/>
  <c r="N62" i="19" s="1"/>
  <c r="O62" i="19" s="1"/>
  <c r="P62" i="19" s="1"/>
  <c r="Q62" i="19" s="1"/>
  <c r="T62" i="19" s="1"/>
  <c r="M89" i="19"/>
  <c r="N89" i="19" s="1"/>
  <c r="M98" i="19"/>
  <c r="N98" i="19" s="1"/>
  <c r="M140" i="19"/>
  <c r="N140" i="19" s="1"/>
  <c r="M23" i="19"/>
  <c r="N23" i="19" s="1"/>
  <c r="M50" i="19"/>
  <c r="N50" i="19" s="1"/>
  <c r="M91" i="19"/>
  <c r="N91" i="19" s="1"/>
  <c r="M129" i="19"/>
  <c r="N129" i="19" s="1"/>
  <c r="M61" i="19"/>
  <c r="N61" i="19" s="1"/>
  <c r="M26" i="19"/>
  <c r="M36" i="19"/>
  <c r="M51" i="19"/>
  <c r="N51" i="19" s="1"/>
  <c r="O51" i="19" s="1"/>
  <c r="P51" i="19" s="1"/>
  <c r="Q51" i="19" s="1"/>
  <c r="T51" i="19" s="1"/>
  <c r="M67" i="19"/>
  <c r="N67" i="19" s="1"/>
  <c r="O67" i="19" s="1"/>
  <c r="P67" i="19" s="1"/>
  <c r="Q67" i="19" s="1"/>
  <c r="T67" i="19" s="1"/>
  <c r="M80" i="19"/>
  <c r="M92" i="19"/>
  <c r="N92" i="19" s="1"/>
  <c r="M100" i="19"/>
  <c r="N100" i="19" s="1"/>
  <c r="M114" i="19"/>
  <c r="N114" i="19" s="1"/>
  <c r="O114" i="19" s="1"/>
  <c r="P114" i="19" s="1"/>
  <c r="Q114" i="19" s="1"/>
  <c r="T114" i="19" s="1"/>
  <c r="M133" i="19"/>
  <c r="N133" i="19" s="1"/>
  <c r="M118" i="19"/>
  <c r="N118" i="19" s="1"/>
  <c r="M22" i="19"/>
  <c r="N22" i="19" s="1"/>
  <c r="O22" i="19" s="1"/>
  <c r="P22" i="19" s="1"/>
  <c r="Q22" i="19" s="1"/>
  <c r="T22" i="19" s="1"/>
  <c r="M78" i="19"/>
  <c r="N78" i="19" s="1"/>
  <c r="O78" i="19" s="1"/>
  <c r="P78" i="19" s="1"/>
  <c r="Q78" i="19" s="1"/>
  <c r="T78" i="19" s="1"/>
  <c r="M106" i="19"/>
  <c r="N106" i="19" s="1"/>
  <c r="M35" i="19"/>
  <c r="M64" i="19"/>
  <c r="N64" i="19" s="1"/>
  <c r="M79" i="19"/>
  <c r="N79" i="19" s="1"/>
  <c r="O79" i="19" s="1"/>
  <c r="P79" i="19" s="1"/>
  <c r="Q79" i="19" s="1"/>
  <c r="T79" i="19" s="1"/>
  <c r="M99" i="19"/>
  <c r="N99" i="19" s="1"/>
  <c r="M107" i="19"/>
  <c r="M29" i="19"/>
  <c r="N29" i="19" s="1"/>
  <c r="M37" i="19"/>
  <c r="N37" i="19" s="1"/>
  <c r="O37" i="19" s="1"/>
  <c r="P37" i="19" s="1"/>
  <c r="Q37" i="19" s="1"/>
  <c r="T37" i="19" s="1"/>
  <c r="M52" i="19"/>
  <c r="N52" i="19" s="1"/>
  <c r="M68" i="19"/>
  <c r="N68" i="19" s="1"/>
  <c r="M81" i="19"/>
  <c r="N81" i="19" s="1"/>
  <c r="M93" i="19"/>
  <c r="N93" i="19" s="1"/>
  <c r="M101" i="19"/>
  <c r="N101" i="19" s="1"/>
  <c r="M116" i="19"/>
  <c r="N116" i="19" s="1"/>
  <c r="M134" i="19"/>
  <c r="N134" i="19" s="1"/>
  <c r="M119" i="19"/>
  <c r="N119" i="19" s="1"/>
  <c r="M135" i="19"/>
  <c r="N135" i="19" s="1"/>
  <c r="O19" i="19"/>
  <c r="P19" i="19" s="1"/>
  <c r="Q19" i="19" s="1"/>
  <c r="T19" i="19" s="1"/>
  <c r="M32" i="19"/>
  <c r="N32" i="19" s="1"/>
  <c r="M34" i="19"/>
  <c r="N34" i="19" s="1"/>
  <c r="M121" i="19"/>
  <c r="N121" i="19" s="1"/>
  <c r="O63" i="19"/>
  <c r="P63" i="19" s="1"/>
  <c r="Q63" i="19" s="1"/>
  <c r="T63" i="19" s="1"/>
  <c r="O138" i="19"/>
  <c r="P138" i="19" s="1"/>
  <c r="Q138" i="19" s="1"/>
  <c r="T138" i="19" s="1"/>
  <c r="O15" i="19"/>
  <c r="P15" i="19" s="1"/>
  <c r="Q15" i="19" s="1"/>
  <c r="T15" i="19" s="1"/>
  <c r="M113" i="19"/>
  <c r="N113" i="19" s="1"/>
  <c r="O27" i="19"/>
  <c r="P27" i="19" s="1"/>
  <c r="O41" i="19"/>
  <c r="P41" i="19" s="1"/>
  <c r="Q41" i="19" s="1"/>
  <c r="T41" i="19" s="1"/>
  <c r="M40" i="19"/>
  <c r="O111" i="19"/>
  <c r="P111" i="19" s="1"/>
  <c r="Q111" i="19" s="1"/>
  <c r="T111" i="19" s="1"/>
  <c r="O66" i="19"/>
  <c r="P66" i="19" s="1"/>
  <c r="E149" i="19"/>
  <c r="G149" i="19"/>
  <c r="J127" i="19"/>
  <c r="O58" i="19"/>
  <c r="P58" i="19" s="1"/>
  <c r="O131" i="19"/>
  <c r="P131" i="19" s="1"/>
  <c r="Q131" i="19" s="1"/>
  <c r="T131" i="19" s="1"/>
  <c r="J108" i="19"/>
  <c r="O130" i="19"/>
  <c r="P130" i="19" s="1"/>
  <c r="Q130" i="19" s="1"/>
  <c r="T130" i="19" s="1"/>
  <c r="J28" i="19"/>
  <c r="O126" i="19"/>
  <c r="P126" i="19" s="1"/>
  <c r="Q126" i="19" s="1"/>
  <c r="T126" i="19" s="1"/>
  <c r="R149" i="19"/>
  <c r="J147" i="19"/>
  <c r="J144" i="19"/>
  <c r="M147" i="19"/>
  <c r="O48" i="19" l="1"/>
  <c r="P48" i="19" s="1"/>
  <c r="Q48" i="19" s="1"/>
  <c r="T48" i="19" s="1"/>
  <c r="O89" i="19"/>
  <c r="P89" i="19" s="1"/>
  <c r="Q89" i="19" s="1"/>
  <c r="T89" i="19" s="1"/>
  <c r="N36" i="19"/>
  <c r="O36" i="19" s="1"/>
  <c r="P36" i="19" s="1"/>
  <c r="Q36" i="19" s="1"/>
  <c r="T36" i="19" s="1"/>
  <c r="N88" i="19"/>
  <c r="O88" i="19" s="1"/>
  <c r="P88" i="19" s="1"/>
  <c r="Q88" i="19" s="1"/>
  <c r="T88" i="19" s="1"/>
  <c r="N40" i="19"/>
  <c r="O40" i="19" s="1"/>
  <c r="P40" i="19" s="1"/>
  <c r="Q40" i="19" s="1"/>
  <c r="T40" i="19" s="1"/>
  <c r="N26" i="19"/>
  <c r="O26" i="19" s="1"/>
  <c r="P26" i="19" s="1"/>
  <c r="Q26" i="19" s="1"/>
  <c r="T26" i="19" s="1"/>
  <c r="N30" i="19"/>
  <c r="O30" i="19" s="1"/>
  <c r="P30" i="19" s="1"/>
  <c r="Q30" i="19" s="1"/>
  <c r="T30" i="19" s="1"/>
  <c r="N35" i="19"/>
  <c r="O35" i="19" s="1"/>
  <c r="P35" i="19" s="1"/>
  <c r="Q35" i="19" s="1"/>
  <c r="T35" i="19" s="1"/>
  <c r="O50" i="19"/>
  <c r="P50" i="19" s="1"/>
  <c r="Q50" i="19" s="1"/>
  <c r="T50" i="19" s="1"/>
  <c r="N107" i="19"/>
  <c r="O107" i="19" s="1"/>
  <c r="P107" i="19" s="1"/>
  <c r="Q107" i="19" s="1"/>
  <c r="T107" i="19" s="1"/>
  <c r="N139" i="19"/>
  <c r="N33" i="19"/>
  <c r="O33" i="19" s="1"/>
  <c r="P33" i="19" s="1"/>
  <c r="Q33" i="19" s="1"/>
  <c r="T33" i="19" s="1"/>
  <c r="Q112" i="19"/>
  <c r="T112" i="19" s="1"/>
  <c r="O113" i="19"/>
  <c r="P113" i="19" s="1"/>
  <c r="Q113" i="19" s="1"/>
  <c r="T113" i="19" s="1"/>
  <c r="N80" i="19"/>
  <c r="O80" i="19" s="1"/>
  <c r="P80" i="19" s="1"/>
  <c r="Q80" i="19" s="1"/>
  <c r="T80" i="19" s="1"/>
  <c r="O121" i="19"/>
  <c r="P121" i="19" s="1"/>
  <c r="Q121" i="19" s="1"/>
  <c r="T121" i="19" s="1"/>
  <c r="O34" i="19"/>
  <c r="P34" i="19" s="1"/>
  <c r="Q34" i="19" s="1"/>
  <c r="T34" i="19" s="1"/>
  <c r="O128" i="19"/>
  <c r="P128" i="19" s="1"/>
  <c r="Q128" i="19" s="1"/>
  <c r="O59" i="19"/>
  <c r="P59" i="19" s="1"/>
  <c r="Q59" i="19" s="1"/>
  <c r="Q122" i="19"/>
  <c r="T122" i="19" s="1"/>
  <c r="Q27" i="19"/>
  <c r="T27" i="19" s="1"/>
  <c r="O39" i="19"/>
  <c r="P39" i="19" s="1"/>
  <c r="Q39" i="19" s="1"/>
  <c r="T39" i="19" s="1"/>
  <c r="Q66" i="19"/>
  <c r="T66" i="19" s="1"/>
  <c r="O145" i="19"/>
  <c r="Q70" i="19"/>
  <c r="T70" i="19" s="1"/>
  <c r="M108" i="19"/>
  <c r="Q58" i="19"/>
  <c r="T58" i="19" s="1"/>
  <c r="M127" i="19"/>
  <c r="O132" i="19"/>
  <c r="P132" i="19" s="1"/>
  <c r="Q132" i="19" s="1"/>
  <c r="T132" i="19" s="1"/>
  <c r="O76" i="19"/>
  <c r="P76" i="19" s="1"/>
  <c r="Q76" i="19" s="1"/>
  <c r="T76" i="19" s="1"/>
  <c r="O64" i="19"/>
  <c r="P64" i="19" s="1"/>
  <c r="Q64" i="19" s="1"/>
  <c r="T64" i="19" s="1"/>
  <c r="O52" i="19"/>
  <c r="P52" i="19" s="1"/>
  <c r="Q52" i="19" s="1"/>
  <c r="T52" i="19" s="1"/>
  <c r="O91" i="19"/>
  <c r="P91" i="19" s="1"/>
  <c r="Q91" i="19" s="1"/>
  <c r="T91" i="19" s="1"/>
  <c r="O72" i="19"/>
  <c r="P72" i="19" s="1"/>
  <c r="Q72" i="19" s="1"/>
  <c r="T72" i="19" s="1"/>
  <c r="O65" i="19"/>
  <c r="P65" i="19" s="1"/>
  <c r="Q65" i="19" s="1"/>
  <c r="T65" i="19" s="1"/>
  <c r="O134" i="19"/>
  <c r="P134" i="19" s="1"/>
  <c r="Q134" i="19" s="1"/>
  <c r="T134" i="19" s="1"/>
  <c r="O16" i="19"/>
  <c r="P16" i="19" s="1"/>
  <c r="Q16" i="19" s="1"/>
  <c r="T16" i="19" s="1"/>
  <c r="O20" i="19"/>
  <c r="P20" i="19" s="1"/>
  <c r="Q20" i="19" s="1"/>
  <c r="T20" i="19" s="1"/>
  <c r="O136" i="19"/>
  <c r="P136" i="19" s="1"/>
  <c r="Q136" i="19" s="1"/>
  <c r="T136" i="19" s="1"/>
  <c r="O69" i="19"/>
  <c r="P69" i="19" s="1"/>
  <c r="Q69" i="19" s="1"/>
  <c r="T69" i="19" s="1"/>
  <c r="O18" i="19"/>
  <c r="P18" i="19" s="1"/>
  <c r="Q18" i="19" s="1"/>
  <c r="T18" i="19" s="1"/>
  <c r="O102" i="19"/>
  <c r="P102" i="19" s="1"/>
  <c r="Q102" i="19" s="1"/>
  <c r="T102" i="19" s="1"/>
  <c r="O101" i="19"/>
  <c r="P101" i="19" s="1"/>
  <c r="Q101" i="19" s="1"/>
  <c r="T101" i="19" s="1"/>
  <c r="O142" i="19"/>
  <c r="P142" i="19" s="1"/>
  <c r="Q142" i="19" s="1"/>
  <c r="T142" i="19" s="1"/>
  <c r="O123" i="19"/>
  <c r="P123" i="19" s="1"/>
  <c r="Q123" i="19" s="1"/>
  <c r="O53" i="19"/>
  <c r="P53" i="19" s="1"/>
  <c r="Q53" i="19" s="1"/>
  <c r="T53" i="19" s="1"/>
  <c r="O10" i="19"/>
  <c r="P10" i="19" s="1"/>
  <c r="Q10" i="19" s="1"/>
  <c r="O105" i="19"/>
  <c r="P105" i="19" s="1"/>
  <c r="Q105" i="19" s="1"/>
  <c r="T105" i="19" s="1"/>
  <c r="O117" i="19"/>
  <c r="P117" i="19" s="1"/>
  <c r="Q117" i="19" s="1"/>
  <c r="O8" i="19"/>
  <c r="O17" i="19"/>
  <c r="P17" i="19" s="1"/>
  <c r="Q17" i="19" s="1"/>
  <c r="T17" i="19" s="1"/>
  <c r="O49" i="19"/>
  <c r="P49" i="19" s="1"/>
  <c r="Q49" i="19" s="1"/>
  <c r="T49" i="19" s="1"/>
  <c r="O94" i="19"/>
  <c r="P94" i="19" s="1"/>
  <c r="Q94" i="19" s="1"/>
  <c r="T94" i="19" s="1"/>
  <c r="O9" i="19"/>
  <c r="P9" i="19" s="1"/>
  <c r="Q9" i="19" s="1"/>
  <c r="T9" i="19" s="1"/>
  <c r="O92" i="19"/>
  <c r="P92" i="19" s="1"/>
  <c r="Q92" i="19" s="1"/>
  <c r="T92" i="19" s="1"/>
  <c r="O42" i="19"/>
  <c r="P42" i="19" s="1"/>
  <c r="Q42" i="19" s="1"/>
  <c r="T42" i="19" s="1"/>
  <c r="O43" i="19"/>
  <c r="P43" i="19" s="1"/>
  <c r="Q43" i="19" s="1"/>
  <c r="T43" i="19" s="1"/>
  <c r="O13" i="19"/>
  <c r="P13" i="19" s="1"/>
  <c r="Q13" i="19" s="1"/>
  <c r="T13" i="19" s="1"/>
  <c r="O57" i="19"/>
  <c r="P57" i="19" s="1"/>
  <c r="Q57" i="19" s="1"/>
  <c r="T57" i="19" s="1"/>
  <c r="O100" i="19"/>
  <c r="P100" i="19" s="1"/>
  <c r="Q100" i="19" s="1"/>
  <c r="T100" i="19" s="1"/>
  <c r="O74" i="19"/>
  <c r="P74" i="19" s="1"/>
  <c r="Q74" i="19" s="1"/>
  <c r="T74" i="19" s="1"/>
  <c r="O73" i="19"/>
  <c r="P73" i="19" s="1"/>
  <c r="Q73" i="19" s="1"/>
  <c r="T73" i="19" s="1"/>
  <c r="O119" i="19"/>
  <c r="P119" i="19" s="1"/>
  <c r="Q119" i="19" s="1"/>
  <c r="T119" i="19" s="1"/>
  <c r="O120" i="19"/>
  <c r="P120" i="19" s="1"/>
  <c r="Q120" i="19" s="1"/>
  <c r="T120" i="19" s="1"/>
  <c r="O98" i="19"/>
  <c r="P98" i="19" s="1"/>
  <c r="Q98" i="19" s="1"/>
  <c r="T98" i="19" s="1"/>
  <c r="O61" i="19"/>
  <c r="P61" i="19" s="1"/>
  <c r="Q61" i="19" s="1"/>
  <c r="T61" i="19" s="1"/>
  <c r="O99" i="19"/>
  <c r="P99" i="19" s="1"/>
  <c r="Q99" i="19" s="1"/>
  <c r="T99" i="19" s="1"/>
  <c r="O44" i="19"/>
  <c r="P44" i="19" s="1"/>
  <c r="Q44" i="19" s="1"/>
  <c r="T44" i="19" s="1"/>
  <c r="O135" i="19"/>
  <c r="P135" i="19" s="1"/>
  <c r="Q135" i="19" s="1"/>
  <c r="T135" i="19" s="1"/>
  <c r="O93" i="19"/>
  <c r="P93" i="19" s="1"/>
  <c r="Q93" i="19" s="1"/>
  <c r="T93" i="19" s="1"/>
  <c r="O60" i="19"/>
  <c r="P60" i="19" s="1"/>
  <c r="Q60" i="19" s="1"/>
  <c r="T60" i="19" s="1"/>
  <c r="O95" i="19"/>
  <c r="P95" i="19" s="1"/>
  <c r="Q95" i="19" s="1"/>
  <c r="T95" i="19" s="1"/>
  <c r="O97" i="19"/>
  <c r="P97" i="19" s="1"/>
  <c r="Q97" i="19" s="1"/>
  <c r="T97" i="19" s="1"/>
  <c r="O90" i="19"/>
  <c r="P90" i="19" s="1"/>
  <c r="Q90" i="19" s="1"/>
  <c r="O116" i="19"/>
  <c r="P116" i="19" s="1"/>
  <c r="Q116" i="19" s="1"/>
  <c r="T116" i="19" s="1"/>
  <c r="M144" i="19"/>
  <c r="O87" i="19"/>
  <c r="P87" i="19" s="1"/>
  <c r="Q87" i="19" s="1"/>
  <c r="T87" i="19" s="1"/>
  <c r="O77" i="19"/>
  <c r="P77" i="19" s="1"/>
  <c r="Q77" i="19" s="1"/>
  <c r="O83" i="19"/>
  <c r="P83" i="19" s="1"/>
  <c r="Q83" i="19" s="1"/>
  <c r="T83" i="19" s="1"/>
  <c r="O118" i="19"/>
  <c r="P118" i="19" s="1"/>
  <c r="Q118" i="19" s="1"/>
  <c r="T118" i="19" s="1"/>
  <c r="O103" i="19"/>
  <c r="P103" i="19" s="1"/>
  <c r="Q103" i="19" s="1"/>
  <c r="T103" i="19" s="1"/>
  <c r="O46" i="19"/>
  <c r="P46" i="19" s="1"/>
  <c r="Q46" i="19" s="1"/>
  <c r="T46" i="19" s="1"/>
  <c r="O81" i="19"/>
  <c r="P81" i="19" s="1"/>
  <c r="Q81" i="19" s="1"/>
  <c r="T81" i="19" s="1"/>
  <c r="O143" i="19"/>
  <c r="P143" i="19" s="1"/>
  <c r="Q143" i="19" s="1"/>
  <c r="T143" i="19" s="1"/>
  <c r="J149" i="19"/>
  <c r="O54" i="19"/>
  <c r="P54" i="19" s="1"/>
  <c r="Q54" i="19" s="1"/>
  <c r="T54" i="19" s="1"/>
  <c r="O23" i="19"/>
  <c r="P23" i="19" s="1"/>
  <c r="Q23" i="19" s="1"/>
  <c r="T23" i="19" s="1"/>
  <c r="O29" i="19"/>
  <c r="O86" i="19"/>
  <c r="P86" i="19" s="1"/>
  <c r="Q86" i="19" s="1"/>
  <c r="T86" i="19" s="1"/>
  <c r="O106" i="19"/>
  <c r="P106" i="19" s="1"/>
  <c r="Q106" i="19" s="1"/>
  <c r="T106" i="19" s="1"/>
  <c r="O45" i="19"/>
  <c r="P45" i="19" s="1"/>
  <c r="Q45" i="19" s="1"/>
  <c r="T45" i="19" s="1"/>
  <c r="O104" i="19"/>
  <c r="P104" i="19" s="1"/>
  <c r="Q104" i="19" s="1"/>
  <c r="T104" i="19" s="1"/>
  <c r="O109" i="19"/>
  <c r="N127" i="19"/>
  <c r="O133" i="19"/>
  <c r="P133" i="19" s="1"/>
  <c r="Q133" i="19" s="1"/>
  <c r="T133" i="19" s="1"/>
  <c r="O47" i="19"/>
  <c r="P47" i="19" s="1"/>
  <c r="Q47" i="19" s="1"/>
  <c r="T47" i="19" s="1"/>
  <c r="O141" i="19"/>
  <c r="P141" i="19" s="1"/>
  <c r="Q141" i="19" s="1"/>
  <c r="T141" i="19" s="1"/>
  <c r="O140" i="19"/>
  <c r="P140" i="19" s="1"/>
  <c r="Q140" i="19" s="1"/>
  <c r="T140" i="19" s="1"/>
  <c r="O96" i="19"/>
  <c r="P96" i="19" s="1"/>
  <c r="Q96" i="19" s="1"/>
  <c r="T96" i="19" s="1"/>
  <c r="M28" i="19"/>
  <c r="N28" i="19" s="1"/>
  <c r="O11" i="19"/>
  <c r="P11" i="19" s="1"/>
  <c r="Q11" i="19" s="1"/>
  <c r="T11" i="19" s="1"/>
  <c r="O68" i="19"/>
  <c r="P68" i="19" s="1"/>
  <c r="Q68" i="19" s="1"/>
  <c r="T68" i="19" s="1"/>
  <c r="O110" i="19"/>
  <c r="P110" i="19" s="1"/>
  <c r="Q110" i="19" s="1"/>
  <c r="T110" i="19" s="1"/>
  <c r="O84" i="19"/>
  <c r="P84" i="19" s="1"/>
  <c r="Q84" i="19" s="1"/>
  <c r="T84" i="19" s="1"/>
  <c r="O124" i="19"/>
  <c r="P124" i="19" s="1"/>
  <c r="Q124" i="19" s="1"/>
  <c r="O25" i="19"/>
  <c r="P25" i="19" s="1"/>
  <c r="Q25" i="19" s="1"/>
  <c r="T25" i="19" s="1"/>
  <c r="O82" i="19"/>
  <c r="P82" i="19" s="1"/>
  <c r="Q82" i="19" s="1"/>
  <c r="T82" i="19" s="1"/>
  <c r="O12" i="19"/>
  <c r="P12" i="19" s="1"/>
  <c r="Q12" i="19" s="1"/>
  <c r="T12" i="19" s="1"/>
  <c r="O24" i="19"/>
  <c r="P24" i="19" s="1"/>
  <c r="Q24" i="19" s="1"/>
  <c r="T24" i="19" s="1"/>
  <c r="T77" i="19" l="1"/>
  <c r="N108" i="19"/>
  <c r="O139" i="19"/>
  <c r="P139" i="19" s="1"/>
  <c r="Q139" i="19" s="1"/>
  <c r="T139" i="19" s="1"/>
  <c r="O32" i="19"/>
  <c r="P32" i="19" s="1"/>
  <c r="Q32" i="19" s="1"/>
  <c r="T32" i="19" s="1"/>
  <c r="T59" i="19"/>
  <c r="N147" i="19"/>
  <c r="M149" i="19"/>
  <c r="T90" i="19"/>
  <c r="T10" i="19"/>
  <c r="T124" i="19"/>
  <c r="T128" i="19"/>
  <c r="O147" i="19"/>
  <c r="P145" i="19"/>
  <c r="P29" i="19"/>
  <c r="P109" i="19"/>
  <c r="O127" i="19"/>
  <c r="T75" i="19"/>
  <c r="O28" i="19"/>
  <c r="P8" i="19"/>
  <c r="O129" i="19"/>
  <c r="N144" i="19"/>
  <c r="T123" i="19"/>
  <c r="O38" i="19"/>
  <c r="P38" i="19" s="1"/>
  <c r="Q38" i="19" s="1"/>
  <c r="T38" i="19" s="1"/>
  <c r="S108" i="19" l="1"/>
  <c r="N149" i="19"/>
  <c r="S127" i="19"/>
  <c r="P129" i="19"/>
  <c r="O144" i="19"/>
  <c r="P108" i="19"/>
  <c r="Q29" i="19"/>
  <c r="P127" i="19"/>
  <c r="Q109" i="19"/>
  <c r="O108" i="19"/>
  <c r="P28" i="19"/>
  <c r="Q8" i="19"/>
  <c r="P147" i="19"/>
  <c r="Q145" i="19"/>
  <c r="T117" i="19"/>
  <c r="O149" i="19" l="1"/>
  <c r="Q127" i="19"/>
  <c r="T109" i="19"/>
  <c r="T127" i="19" s="1"/>
  <c r="Q147" i="19"/>
  <c r="T145" i="19"/>
  <c r="T147" i="19" s="1"/>
  <c r="Q108" i="19"/>
  <c r="T29" i="19"/>
  <c r="T108" i="19" s="1"/>
  <c r="Q28" i="19"/>
  <c r="S28" i="19"/>
  <c r="S149" i="19" s="1"/>
  <c r="P144" i="19"/>
  <c r="P149" i="19" s="1"/>
  <c r="Q129" i="19"/>
  <c r="T8" i="19" l="1"/>
  <c r="T28" i="19" s="1"/>
  <c r="T129" i="19"/>
  <c r="T144" i="19" s="1"/>
  <c r="Q144" i="19"/>
  <c r="Q149" i="19" s="1"/>
  <c r="T150" i="19" s="1"/>
  <c r="T149" i="19" l="1"/>
  <c r="G8" i="8" l="1"/>
  <c r="J152" i="7" l="1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M135" i="5" s="1"/>
  <c r="N135" i="5" s="1"/>
  <c r="O135" i="5" s="1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M150" i="5" s="1"/>
  <c r="N150" i="5" s="1"/>
  <c r="O150" i="5" s="1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51" i="5" l="1"/>
  <c r="O97" i="5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</calcChain>
</file>

<file path=xl/comments1.xml><?xml version="1.0" encoding="utf-8"?>
<comments xmlns="http://schemas.openxmlformats.org/spreadsheetml/2006/main">
  <authors>
    <author>Tesoreria</author>
    <author>FACTURACION</author>
  </authors>
  <commentList>
    <comment ref="Q71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P166" authorId="1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>
  <authors>
    <author>tc={A68D128F-DE90-46A1-B351-1DD6C7DD6DFE}</author>
    <author>Tesoreria</author>
    <author>FACTURACION</author>
  </authors>
  <commentList>
    <comment ref="J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>
  <authors>
    <author>tc={767CE735-F763-4D1C-9EB7-11379A79DDB5}</author>
    <author>Tesoreria</author>
    <author>FACTURACION</author>
  </authors>
  <commentList>
    <comment ref="L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>
  <authors>
    <author>Tesoreria</author>
  </authors>
  <commentList>
    <comment ref="O88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<sst xmlns="http://schemas.openxmlformats.org/spreadsheetml/2006/main" count="1807" uniqueCount="327">
  <si>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</si>
  <si>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</si>
  <si>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</si>
  <si>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</si>
  <si>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</si>
  <si>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</si>
  <si>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</si>
  <si>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</si>
  <si>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</si>
  <si>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</si>
  <si>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</si>
  <si>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</si>
  <si>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</si>
  <si>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</si>
  <si>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</si>
  <si>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</si>
  <si>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</si>
  <si>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</si>
  <si>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</si>
  <si>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</si>
  <si>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</si>
  <si>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</si>
  <si>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</si>
  <si>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</si>
  <si>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</si>
  <si>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</si>
  <si>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</si>
  <si>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</si>
  <si>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</si>
  <si>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</si>
  <si>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</si>
  <si>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</si>
  <si>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</si>
  <si>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</si>
  <si>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</si>
  <si>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</si>
  <si>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</si>
  <si>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</si>
  <si>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</si>
  <si>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</si>
  <si>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</si>
  <si>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</si>
  <si>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</si>
  <si>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</si>
  <si>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</si>
  <si>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</si>
  <si>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</si>
  <si>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</si>
  <si>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</si>
  <si>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</si>
  <si>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</si>
  <si>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</si>
  <si>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</si>
  <si>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</si>
  <si>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</si>
  <si>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</si>
  <si>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</si>
  <si>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</si>
  <si>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</si>
  <si>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</si>
  <si>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</si>
  <si>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</si>
  <si>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</si>
  <si>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</si>
  <si>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</si>
  <si>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</si>
  <si>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</si>
  <si>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</si>
  <si>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</si>
  <si>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</si>
  <si>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</si>
  <si>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</si>
  <si>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</si>
  <si>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</si>
  <si>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</si>
  <si>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</si>
  <si>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</si>
  <si>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</si>
  <si>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</si>
  <si>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</si>
  <si>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</si>
  <si>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</si>
  <si>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</si>
  <si>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</si>
  <si>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</si>
  <si>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</si>
  <si>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</si>
  <si>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</si>
  <si>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</si>
  <si>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</si>
  <si>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</si>
  <si>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</si>
  <si>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</si>
  <si>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</si>
  <si>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</si>
  <si>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</si>
  <si>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</si>
  <si>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</si>
  <si>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</si>
  <si>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</si>
  <si>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</si>
  <si>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</si>
  <si>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</si>
  <si>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</si>
  <si>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</si>
  <si>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</si>
  <si>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</si>
  <si>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</si>
  <si>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</si>
  <si>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</si>
  <si>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</si>
  <si>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</si>
  <si>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</si>
  <si>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</si>
  <si>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</si>
  <si>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</si>
  <si>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</si>
  <si>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</si>
  <si>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</si>
  <si>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</si>
  <si>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</si>
  <si>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</si>
  <si>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</si>
  <si>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</si>
  <si>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</si>
  <si>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</si>
  <si>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</si>
  <si>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</si>
  <si>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</si>
  <si>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</si>
  <si>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</si>
  <si>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</si>
  <si>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</si>
  <si>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</si>
  <si>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</si>
  <si>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</si>
  <si>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</si>
  <si>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</si>
  <si>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</si>
  <si>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</si>
  <si>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</si>
  <si>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</si>
  <si>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</si>
  <si>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</si>
  <si>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</si>
  <si>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</si>
  <si>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</si>
  <si>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</si>
  <si>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</si>
  <si>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</si>
  <si>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</si>
  <si>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</si>
  <si>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</si>
  <si>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</si>
  <si>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</si>
  <si>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</si>
  <si>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</si>
  <si>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</si>
  <si>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</si>
  <si>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</si>
  <si>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</si>
  <si>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</si>
  <si>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</si>
  <si>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</si>
  <si>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</si>
  <si>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</si>
  <si>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</si>
  <si>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</si>
  <si>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</si>
  <si>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</si>
  <si>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</si>
  <si>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</si>
  <si>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</si>
  <si>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</si>
  <si>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</si>
  <si>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</si>
  <si>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</si>
  <si>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</si>
  <si>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</si>
  <si>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</si>
  <si>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</si>
  <si>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</si>
  <si>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</si>
  <si>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</si>
  <si>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</si>
  <si>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</si>
  <si>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</si>
  <si>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</si>
  <si>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</si>
  <si>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</si>
  <si>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</si>
  <si>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</si>
  <si>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</si>
  <si>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</si>
  <si>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</si>
  <si>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</si>
  <si>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</si>
  <si>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</si>
  <si>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</si>
  <si>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</si>
  <si>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</si>
  <si>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</si>
  <si>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</si>
  <si>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</si>
  <si>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</si>
  <si>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SALA DE PARTOS</t>
  </si>
  <si>
    <t>TORRE URGENCIAS - SEGUNDO PISO 2° PEDRIATRIA</t>
  </si>
  <si>
    <t>TORRE URGENCIAS - SEGUNDO PISO 2° PSIQUIATRIA</t>
  </si>
  <si>
    <t>TORRE URGENCIAS-REANIMACION</t>
  </si>
  <si>
    <t xml:space="preserve">SALIDA EMERGENCIA 1 DE MAYO </t>
  </si>
  <si>
    <t>REJA PEATONAL URGENCIAS</t>
  </si>
  <si>
    <t>LACTARIO</t>
  </si>
  <si>
    <t>TALANQUERA</t>
  </si>
  <si>
    <t xml:space="preserve">SERVICIO EXTERNOS </t>
  </si>
  <si>
    <t>MONITOREO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</si>
  <si>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</si>
  <si>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</si>
  <si>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</si>
  <si>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</si>
  <si>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</si>
  <si>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</si>
  <si>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</si>
  <si>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</si>
  <si>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</si>
  <si>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</si>
  <si>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>DINAPOWER LTDA</t>
  </si>
  <si>
    <t>PASO TORRE 1 ASCENSORES</t>
  </si>
  <si>
    <t>PASO TORRE 2 RADIOLOGIA</t>
  </si>
  <si>
    <t xml:space="preserve">TORRE URGENCIAS PUERTA CRISTAL </t>
  </si>
  <si>
    <t>SERVICIO 12 HORAS NOCTURNO  PERMANENTE SIN ARMA</t>
  </si>
  <si>
    <t xml:space="preserve">PABLO VI - CDS OLARTE - 14 HORAS L-S </t>
  </si>
  <si>
    <t xml:space="preserve">PABLO VI - CDS LAURELES - 12 HORAS </t>
  </si>
  <si>
    <t xml:space="preserve">PABLO VI - CDS PORVENIR 24 H Y 12 HORAS  LS </t>
  </si>
  <si>
    <t xml:space="preserve">PABLO VI - CDS CARBONEL </t>
  </si>
  <si>
    <t xml:space="preserve">PABLO VI - CDS ESTACION UNO 14 HL-S Y UNO 12H LD </t>
  </si>
  <si>
    <t xml:space="preserve">CDS PATIO BONITO URG. </t>
  </si>
  <si>
    <t xml:space="preserve">CDS PATIO BON CONS. EXT. </t>
  </si>
  <si>
    <t xml:space="preserve">CDS PATIO BONITO RECORREDOR </t>
  </si>
  <si>
    <t xml:space="preserve">CDS DELICIAS </t>
  </si>
  <si>
    <t>CDS PATIOS L-S</t>
  </si>
  <si>
    <t xml:space="preserve">CDS BOMBEROS 1 24 H 1 8 H </t>
  </si>
  <si>
    <t xml:space="preserve">CDS GERIATRICO ABASTOS </t>
  </si>
  <si>
    <t xml:space="preserve">CDS CATALINA </t>
  </si>
  <si>
    <t xml:space="preserve">CDS BRITALIA </t>
  </si>
  <si>
    <t xml:space="preserve">CDS CARVAJAL </t>
  </si>
  <si>
    <t>CDS CENTRO DIA L-S</t>
  </si>
  <si>
    <t xml:space="preserve">CDS 48 SAN PABLO L- S </t>
  </si>
  <si>
    <t xml:space="preserve">CDS 49 INTERNACIONAL L- S </t>
  </si>
  <si>
    <t xml:space="preserve">CDS 50 PUERTA DE TEJA L-S </t>
  </si>
  <si>
    <t xml:space="preserve">CDS 51 ZONA FRANCA PARQ. </t>
  </si>
  <si>
    <t>CDS ZONA FRANCA PPAL 8 HORAS L-S</t>
  </si>
  <si>
    <t>CDS ZONA FRANCA PPAL</t>
  </si>
  <si>
    <t xml:space="preserve">CDS ZONA FRANCA REC. LS </t>
  </si>
  <si>
    <t xml:space="preserve">CDS GALAN URG. </t>
  </si>
  <si>
    <t xml:space="preserve">CDS GALAN FILTRO </t>
  </si>
  <si>
    <t xml:space="preserve">CDS GALAN CONSULTA EXT. L-S </t>
  </si>
  <si>
    <t xml:space="preserve">CDS GALAN 2 PISO LAB C. EXT L-S </t>
  </si>
  <si>
    <t xml:space="preserve">CDS ALQUERIA L-V </t>
  </si>
  <si>
    <t xml:space="preserve">CDS PUENTE ARANDA </t>
  </si>
  <si>
    <t xml:space="preserve">CDS ALCALA MUZU </t>
  </si>
  <si>
    <t xml:space="preserve">CDS CUNDINAMARCA </t>
  </si>
  <si>
    <t xml:space="preserve">CDS ASUNCION BOCHICA </t>
  </si>
  <si>
    <t xml:space="preserve">HOSPITAL KENNEDY - MEDICINA INT. HOSP. </t>
  </si>
  <si>
    <t>HOSPITAL KENNEDY - MEDICINA INTERNA ESPECIALIDADES</t>
  </si>
  <si>
    <t>HOSPITAL KENNEDY - KPC AISLADOS Y QUIRURGICAS</t>
  </si>
  <si>
    <t>HOSPITAL KENNEDY-  MATERNIDAD</t>
  </si>
  <si>
    <t xml:space="preserve">HOSPITAL KENNEDY - UCI </t>
  </si>
  <si>
    <t xml:space="preserve">HOSPITAL KENNEDY- SALUD MENTAL 2 PISO </t>
  </si>
  <si>
    <t xml:space="preserve">HOSPITAL KENNEDY- PUERTA ENTRADA CONSULTA EXTERNA </t>
  </si>
  <si>
    <t>HOSPITAL KENNEDY - SALAS DE CX</t>
  </si>
  <si>
    <t xml:space="preserve">HOSPITAL KENNEDY- PUERTA RX </t>
  </si>
  <si>
    <t>HOSPITAL KENNEDY- PUERTA PPAL ENTRADA VISITANTES Y ENTRADA FUNCIONARIOS</t>
  </si>
  <si>
    <t xml:space="preserve">HOSPITAL KENNEDY- PUERTA ALMACEN 14 HORAS </t>
  </si>
  <si>
    <t>HOSPITAL KENNEDY- CHUT Y BICICLETERO</t>
  </si>
  <si>
    <t xml:space="preserve">HOSPITAL KENNEDY- MONITOREO </t>
  </si>
  <si>
    <t xml:space="preserve">HOSPITAL KENNEDY- PARQUEADERO ANTIGUO URG. </t>
  </si>
  <si>
    <t xml:space="preserve">HOSPITAL KENNEDY- RECORREDOR GEN. </t>
  </si>
  <si>
    <t>HOSPITAL SALUD MENTAL FLORALIA</t>
  </si>
  <si>
    <t>HOSPITAL SALUD MENTAL LORALIA</t>
  </si>
  <si>
    <t>HOSPITAL FONTIBON 2 PUERTA VEHICULAR URGENCIAS</t>
  </si>
  <si>
    <t xml:space="preserve">HOSPITAL FONTIBON 2 REGISTRO URG. </t>
  </si>
  <si>
    <t xml:space="preserve">HOSPITAL FONTIBON 2 PASILLO URG. </t>
  </si>
  <si>
    <t xml:space="preserve">HOSPITAL FONTIBON 2 CONSULTA EXT. </t>
  </si>
  <si>
    <t xml:space="preserve">HOSPITAL FONTIBON 2 MONITOREO </t>
  </si>
  <si>
    <t xml:space="preserve">HOSPITAL FONTIBON 2 RECORREDOR </t>
  </si>
  <si>
    <t>HOSPITAL FONTIBON 2 LABORATORIO</t>
  </si>
  <si>
    <t xml:space="preserve">HOSPITAL PEDIATRICO TINTAL - MONITOREO </t>
  </si>
  <si>
    <t>HOSPITAL PEDIATRICO TINTAL - PUERTA VEHICULAR URG</t>
  </si>
  <si>
    <t>HOSPITAL PEDIATRICO TINTAL - PUERTA VEHICULAR CARGUE</t>
  </si>
  <si>
    <t xml:space="preserve">HOSPITAL PEDIATRICO TINTAL - PUERTA PEATONAL PPAL </t>
  </si>
  <si>
    <t xml:space="preserve">HOSPITAL PEDIATRICO TINTAL - HOSPITALIZACION SEGUNDO PISO </t>
  </si>
  <si>
    <t xml:space="preserve">HOSPITAL PEDIATRICO TINTAL - ENTRADA SALA URG. </t>
  </si>
  <si>
    <t xml:space="preserve">HOSPITAL PEDIATRICO TINTAL - HOSPITALIZACION TERCER PISO </t>
  </si>
  <si>
    <t xml:space="preserve">HOSPITAL PEDIATRICO TINTAL - FILTRO URG. </t>
  </si>
  <si>
    <t xml:space="preserve">HOSPITAL PEDIATRICO TINTAL - RECORREDOR </t>
  </si>
  <si>
    <t>HOSPITAL PEDIATRICO TINTAL- UCI</t>
  </si>
  <si>
    <t>HOSPITAL PEDIATRICO TINTAL-URGENCIAS ACCESO A ESCALERAS</t>
  </si>
  <si>
    <t xml:space="preserve">HOSPITAL PEDIATRICO TINTAL - CONSULTA EXTERNA L S </t>
  </si>
  <si>
    <t xml:space="preserve">HOSPITAL PEDIATRICO TINTAL - RECEPCION </t>
  </si>
  <si>
    <t>PABLO VI - CDS VILLA JAVIER PARQUEADERO</t>
  </si>
  <si>
    <t>PABLO VI - CDS VILLA JAVIER PUERTA PRINCIPAL</t>
  </si>
  <si>
    <t>PABLO VI - CDS VILLA JAVIER MONITOREO</t>
  </si>
  <si>
    <t>PABLO VI - CDS VILLA JAVIER RECORREDOR PRIMER PISO</t>
  </si>
  <si>
    <t>HOSPITAL KENNEDY- INGRESO PATOLOGIA OFICNAS 3ER PISO</t>
  </si>
  <si>
    <t xml:space="preserve">CENTRO DE SALUD TINTAL- CDS PUERTA PRINCIPAL </t>
  </si>
  <si>
    <t>CENTRO DE SALUD MEXICANA - MONITOREO</t>
  </si>
  <si>
    <t xml:space="preserve">TOTAL  A
 FACTURAR </t>
  </si>
  <si>
    <t xml:space="preserve">AUSENTISMOS </t>
  </si>
  <si>
    <t>COSTO AUSENTISMOS</t>
  </si>
  <si>
    <t xml:space="preserve">VALOR A PAGAR </t>
  </si>
  <si>
    <t>CENTRO DE SALUD TINTAL PUERTA ORIENTAL</t>
  </si>
  <si>
    <t xml:space="preserve">CENTRO DE SALUD TINTAL PARQUEADERO </t>
  </si>
  <si>
    <t>PABLO VI - SERVICIOS INTEGRALES</t>
  </si>
  <si>
    <t xml:space="preserve">PABLO VI  - RECORREDOR PABLOVI-ADMINISTRATIVA-FARMACIA  </t>
  </si>
  <si>
    <t xml:space="preserve">CENTRO DE SALUD TINTAL- CDS RECORREDOR PISO </t>
  </si>
  <si>
    <t>CDS 29</t>
  </si>
  <si>
    <t>+</t>
  </si>
  <si>
    <t xml:space="preserve">HOSPITAL KENNEDY- PASO CONSULTA EXTERNA A HOSPITALIZACION </t>
  </si>
  <si>
    <t xml:space="preserve">TORRE URGENCIAS- PUERTA PRINCIPAL Y FILTRO </t>
  </si>
  <si>
    <t xml:space="preserve">  SERVICIO 12 HORAS PERMANENTE SIN ARMA</t>
  </si>
  <si>
    <t>CDS 1 BOSTON CASA MAS BIENESTAR</t>
  </si>
  <si>
    <t>SEGURO DE VIDA</t>
  </si>
  <si>
    <t>,,</t>
  </si>
  <si>
    <r>
      <t xml:space="preserve">HOSPITAL PEDIATRICO TINTAL-CIRUGIA </t>
    </r>
    <r>
      <rPr>
        <sz val="8"/>
        <color rgb="FFFF0000"/>
        <rFont val="Arial"/>
        <family val="2"/>
      </rPr>
      <t>(SIN FESTIVOS LUNES- MARTES -JUEVES- VIERNES  (2-3-5-6-9-10-12-13-16-17-19-20-23-24-26-27)</t>
    </r>
  </si>
  <si>
    <t xml:space="preserve">CARBONELL GUARDA DE PLANTA , REEMPLAZO 16 DE FEBRERO Y DEL 25 AL 28  FEBRERO </t>
  </si>
  <si>
    <t>ALQUERIA VACUNACION  21 Y 28</t>
  </si>
  <si>
    <t>PRESTACION SERVICIO DE VIGILANCIA A PARTIR DEL 1 DE ENERO AL 28 DE 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</si>
</sst>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_-;\-* #,##0.00_-;_-* &quot;-&quot;_-;_-@_-"/>
    <numFmt numFmtId="168" formatCode="_(&quot;$&quot;\ * #,##0_);_(&quot;$&quot;\ * \(#,##0\);_(&quot;$&quot;\ * &quot;-&quot;??_);_(@_)"/>
    <numFmt numFmtId="169" formatCode="_-* #,##0_-;\-* #,##0_-;_-* &quot;-&quot;??_-;_-@_-"/>
    <numFmt numFmtId="170" formatCode="_-&quot;$&quot;* #,##0_-;\-&quot;$&quot;* #,##0_-;_-&quot;$&quot;* &quot;-&quot;??_-;_-@_-"/>
    <numFmt numFmtId="171" formatCode="&quot;$&quot;\ #,##0"/>
    <numFmt numFmtId="172" formatCode="_-* #,##0_-;\-* #,##0_-;_-* &quot;-&quot;_-;_-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35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7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8" fontId="5" fillId="3" borderId="3" xfId="2" applyNumberFormat="1" applyFont="1" applyFill="1" applyBorder="1" applyAlignment="1">
      <alignment horizontal="center" vertical="center"/>
    </xf>
    <xf numFmtId="167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8" fontId="0" fillId="0" borderId="0" xfId="0" applyNumberFormat="1"/>
    <xf numFmtId="164" fontId="0" fillId="0" borderId="0" xfId="1" applyFont="1"/>
    <xf numFmtId="164" fontId="0" fillId="0" borderId="0" xfId="0" applyNumberFormat="1"/>
    <xf numFmtId="0" fontId="4" fillId="2" borderId="7" xfId="0" applyFont="1" applyFill="1" applyBorder="1"/>
    <xf numFmtId="166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7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8" fontId="4" fillId="0" borderId="3" xfId="2" applyNumberFormat="1" applyFont="1" applyFill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8" fontId="5" fillId="0" borderId="3" xfId="2" applyNumberFormat="1" applyFont="1" applyFill="1" applyBorder="1" applyAlignment="1">
      <alignment horizontal="center" vertical="center"/>
    </xf>
    <xf numFmtId="167" fontId="0" fillId="0" borderId="0" xfId="0" applyNumberFormat="1"/>
    <xf numFmtId="0" fontId="4" fillId="0" borderId="6" xfId="0" applyFont="1" applyBorder="1" applyAlignment="1">
      <alignment horizontal="center"/>
    </xf>
    <xf numFmtId="167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7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8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164" fontId="0" fillId="4" borderId="0" xfId="1" applyFont="1" applyFill="1"/>
    <xf numFmtId="165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7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8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9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165" fontId="0" fillId="0" borderId="0" xfId="4" applyFont="1"/>
    <xf numFmtId="169" fontId="0" fillId="0" borderId="0" xfId="0" applyNumberFormat="1"/>
    <xf numFmtId="0" fontId="4" fillId="0" borderId="0" xfId="0" applyFont="1" applyAlignment="1">
      <alignment horizontal="left"/>
    </xf>
    <xf numFmtId="169" fontId="0" fillId="0" borderId="0" xfId="4" applyNumberFormat="1" applyFont="1" applyFill="1" applyBorder="1"/>
    <xf numFmtId="164" fontId="0" fillId="5" borderId="0" xfId="1" applyFont="1" applyFill="1"/>
    <xf numFmtId="169" fontId="0" fillId="5" borderId="0" xfId="4" applyNumberFormat="1" applyFont="1" applyFill="1"/>
    <xf numFmtId="167" fontId="0" fillId="5" borderId="0" xfId="0" applyNumberFormat="1" applyFill="1"/>
    <xf numFmtId="165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7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8" fontId="5" fillId="5" borderId="3" xfId="2" applyNumberFormat="1" applyFont="1" applyFill="1" applyBorder="1" applyAlignment="1">
      <alignment horizontal="center" vertical="center"/>
    </xf>
    <xf numFmtId="164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7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8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8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165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7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70" fontId="0" fillId="0" borderId="0" xfId="2" applyNumberFormat="1" applyFont="1"/>
    <xf numFmtId="170" fontId="9" fillId="10" borderId="0" xfId="2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2" fillId="11" borderId="4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11" borderId="3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3" fillId="0" borderId="0" xfId="0" applyFont="1"/>
    <xf numFmtId="0" fontId="14" fillId="0" borderId="1" xfId="0" applyFont="1" applyBorder="1"/>
    <xf numFmtId="0" fontId="13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2" fillId="11" borderId="2" xfId="0" applyFont="1" applyFill="1" applyBorder="1" applyAlignment="1">
      <alignment horizontal="left" vertical="center" wrapText="1" indent="1"/>
    </xf>
    <xf numFmtId="172" fontId="2" fillId="11" borderId="2" xfId="0" applyNumberFormat="1" applyFont="1" applyFill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indent="1"/>
    </xf>
    <xf numFmtId="0" fontId="5" fillId="0" borderId="1" xfId="0" applyFont="1" applyBorder="1" applyAlignment="1">
      <alignment horizontal="left" wrapText="1" indent="1"/>
    </xf>
    <xf numFmtId="9" fontId="5" fillId="0" borderId="1" xfId="3" applyFont="1" applyFill="1" applyBorder="1" applyAlignment="1">
      <alignment horizontal="left" vertical="center" indent="1"/>
    </xf>
    <xf numFmtId="168" fontId="5" fillId="0" borderId="1" xfId="2" applyNumberFormat="1" applyFont="1" applyFill="1" applyBorder="1" applyAlignment="1">
      <alignment horizontal="left" vertical="center" indent="1"/>
    </xf>
    <xf numFmtId="0" fontId="8" fillId="0" borderId="1" xfId="0" applyFont="1" applyBorder="1" applyAlignment="1">
      <alignment horizontal="left" indent="1"/>
    </xf>
    <xf numFmtId="168" fontId="8" fillId="0" borderId="1" xfId="0" applyNumberFormat="1" applyFont="1" applyBorder="1" applyAlignment="1">
      <alignment horizontal="left" indent="1"/>
    </xf>
    <xf numFmtId="0" fontId="8" fillId="0" borderId="0" xfId="0" applyFont="1" applyAlignment="1">
      <alignment horizontal="left" indent="1"/>
    </xf>
    <xf numFmtId="168" fontId="8" fillId="0" borderId="0" xfId="0" applyNumberFormat="1" applyFont="1" applyAlignment="1">
      <alignment horizontal="left" indent="1"/>
    </xf>
    <xf numFmtId="0" fontId="2" fillId="11" borderId="1" xfId="0" applyFont="1" applyFill="1" applyBorder="1" applyAlignment="1">
      <alignment horizontal="left" vertical="center" wrapText="1" indent="1"/>
    </xf>
    <xf numFmtId="168" fontId="2" fillId="11" borderId="1" xfId="0" applyNumberFormat="1" applyFont="1" applyFill="1" applyBorder="1" applyAlignment="1">
      <alignment horizontal="left" vertical="center" wrapText="1" indent="1"/>
    </xf>
    <xf numFmtId="9" fontId="4" fillId="0" borderId="1" xfId="3" applyFont="1" applyFill="1" applyBorder="1" applyAlignment="1">
      <alignment horizontal="left" vertical="center" indent="1"/>
    </xf>
    <xf numFmtId="168" fontId="4" fillId="0" borderId="1" xfId="2" applyNumberFormat="1" applyFont="1" applyFill="1" applyBorder="1" applyAlignment="1">
      <alignment horizontal="left" vertical="center" indent="1"/>
    </xf>
    <xf numFmtId="170" fontId="8" fillId="0" borderId="1" xfId="2" applyNumberFormat="1" applyFont="1" applyFill="1" applyBorder="1" applyAlignment="1">
      <alignment horizontal="left" indent="1"/>
    </xf>
    <xf numFmtId="0" fontId="8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wrapText="1" indent="1"/>
    </xf>
    <xf numFmtId="168" fontId="0" fillId="0" borderId="1" xfId="0" applyNumberFormat="1" applyBorder="1" applyAlignment="1">
      <alignment horizontal="left" indent="1"/>
    </xf>
    <xf numFmtId="0" fontId="8" fillId="0" borderId="1" xfId="0" applyFont="1" applyBorder="1" applyAlignment="1">
      <alignment horizontal="left" wrapText="1" indent="1"/>
    </xf>
    <xf numFmtId="168" fontId="0" fillId="0" borderId="0" xfId="0" applyNumberFormat="1" applyAlignment="1">
      <alignment horizontal="left" indent="1"/>
    </xf>
    <xf numFmtId="0" fontId="0" fillId="0" borderId="1" xfId="0" applyBorder="1" applyAlignment="1">
      <alignment horizontal="left" wrapText="1" indent="1"/>
    </xf>
    <xf numFmtId="0" fontId="13" fillId="0" borderId="0" xfId="0" applyFont="1" applyAlignment="1">
      <alignment horizontal="left" indent="1"/>
    </xf>
    <xf numFmtId="0" fontId="2" fillId="11" borderId="29" xfId="0" applyFont="1" applyFill="1" applyBorder="1" applyAlignment="1">
      <alignment horizontal="left" vertical="center" wrapText="1" indent="1"/>
    </xf>
    <xf numFmtId="44" fontId="2" fillId="11" borderId="1" xfId="0" applyNumberFormat="1" applyFont="1" applyFill="1" applyBorder="1" applyAlignment="1">
      <alignment horizontal="left" vertical="center" wrapText="1" indent="1"/>
    </xf>
    <xf numFmtId="44" fontId="2" fillId="11" borderId="26" xfId="0" applyNumberFormat="1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left" wrapText="1" indent="1"/>
    </xf>
    <xf numFmtId="172" fontId="0" fillId="0" borderId="0" xfId="0" applyNumberFormat="1" applyAlignment="1">
      <alignment horizontal="left" indent="1"/>
    </xf>
    <xf numFmtId="0" fontId="2" fillId="11" borderId="4" xfId="0" applyFont="1" applyFill="1" applyBorder="1" applyAlignment="1">
      <alignment horizontal="left" vertical="center" wrapText="1" indent="1"/>
    </xf>
    <xf numFmtId="168" fontId="2" fillId="11" borderId="2" xfId="0" applyNumberFormat="1" applyFont="1" applyFill="1" applyBorder="1" applyAlignment="1">
      <alignment horizontal="left" vertical="center" wrapText="1" indent="1"/>
    </xf>
    <xf numFmtId="168" fontId="2" fillId="11" borderId="28" xfId="0" applyNumberFormat="1" applyFont="1" applyFill="1" applyBorder="1" applyAlignment="1">
      <alignment horizontal="left" vertical="center" wrapText="1" indent="1"/>
    </xf>
    <xf numFmtId="168" fontId="2" fillId="12" borderId="1" xfId="0" applyNumberFormat="1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8" fontId="2" fillId="0" borderId="0" xfId="0" applyNumberFormat="1" applyFont="1" applyAlignment="1">
      <alignment horizontal="left" vertical="center" wrapText="1" indent="1"/>
    </xf>
    <xf numFmtId="172" fontId="2" fillId="0" borderId="0" xfId="0" applyNumberFormat="1" applyFont="1" applyAlignment="1">
      <alignment horizontal="left" vertical="center" wrapText="1" indent="1"/>
    </xf>
    <xf numFmtId="168" fontId="12" fillId="0" borderId="0" xfId="0" applyNumberFormat="1" applyFont="1" applyAlignment="1">
      <alignment horizontal="left" vertical="center" wrapText="1" indent="1"/>
    </xf>
    <xf numFmtId="168" fontId="2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wrapText="1" indent="1"/>
    </xf>
    <xf numFmtId="171" fontId="0" fillId="0" borderId="0" xfId="0" applyNumberFormat="1" applyAlignment="1">
      <alignment horizontal="left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172" fontId="0" fillId="0" borderId="0" xfId="4" applyNumberFormat="1" applyFont="1" applyAlignment="1">
      <alignment horizontal="left" indent="1"/>
    </xf>
    <xf numFmtId="165" fontId="0" fillId="0" borderId="0" xfId="4" applyFont="1" applyAlignment="1">
      <alignment horizontal="left" indent="1"/>
    </xf>
    <xf numFmtId="9" fontId="0" fillId="0" borderId="0" xfId="0" applyNumberFormat="1" applyAlignment="1">
      <alignment horizontal="left" indent="1"/>
    </xf>
    <xf numFmtId="172" fontId="5" fillId="0" borderId="0" xfId="1" applyNumberFormat="1" applyFont="1" applyFill="1" applyBorder="1" applyAlignment="1">
      <alignment horizontal="left" vertical="center" inden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11" borderId="29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2" fillId="11" borderId="1" xfId="0" applyNumberFormat="1" applyFont="1" applyFill="1" applyBorder="1" applyAlignment="1">
      <alignment horizontal="center" vertical="center" wrapText="1"/>
    </xf>
    <xf numFmtId="168" fontId="2" fillId="11" borderId="27" xfId="0" applyNumberFormat="1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/>
    </xf>
    <xf numFmtId="168" fontId="2" fillId="11" borderId="2" xfId="0" applyNumberFormat="1" applyFont="1" applyFill="1" applyBorder="1" applyAlignment="1">
      <alignment horizontal="center" vertical="center" wrapText="1"/>
    </xf>
    <xf numFmtId="168" fontId="2" fillId="11" borderId="5" xfId="0" applyNumberFormat="1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9" fontId="0" fillId="0" borderId="0" xfId="4" applyNumberFormat="1" applyFont="1" applyFill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2" fillId="12" borderId="1" xfId="0" applyNumberFormat="1" applyFont="1" applyFill="1" applyBorder="1" applyAlignment="1">
      <alignment horizontal="center" vertical="center" wrapText="1"/>
    </xf>
    <xf numFmtId="170" fontId="4" fillId="0" borderId="1" xfId="2" applyNumberFormat="1" applyFont="1" applyFill="1" applyBorder="1" applyAlignment="1">
      <alignment horizontal="left" vertical="center" indent="1"/>
    </xf>
    <xf numFmtId="170" fontId="2" fillId="11" borderId="2" xfId="2" applyNumberFormat="1" applyFont="1" applyFill="1" applyBorder="1" applyAlignment="1">
      <alignment horizontal="left" vertical="center" wrapText="1" indent="1"/>
    </xf>
    <xf numFmtId="170" fontId="5" fillId="0" borderId="1" xfId="2" applyNumberFormat="1" applyFont="1" applyFill="1" applyBorder="1" applyAlignment="1">
      <alignment horizontal="left" vertical="center" indent="1"/>
    </xf>
    <xf numFmtId="170" fontId="2" fillId="11" borderId="1" xfId="2" applyNumberFormat="1" applyFont="1" applyFill="1" applyBorder="1" applyAlignment="1">
      <alignment horizontal="left" vertical="center" wrapText="1" indent="1"/>
    </xf>
    <xf numFmtId="170" fontId="0" fillId="0" borderId="0" xfId="2" applyNumberFormat="1" applyFont="1" applyAlignment="1">
      <alignment horizontal="left" indent="1"/>
    </xf>
    <xf numFmtId="170" fontId="2" fillId="0" borderId="0" xfId="2" applyNumberFormat="1" applyFont="1" applyAlignment="1">
      <alignment horizontal="left" vertical="center" wrapText="1" indent="1"/>
    </xf>
    <xf numFmtId="172" fontId="2" fillId="11" borderId="2" xfId="0" applyNumberFormat="1" applyFont="1" applyFill="1" applyBorder="1" applyAlignment="1">
      <alignment horizontal="center" vertical="center" wrapText="1"/>
    </xf>
    <xf numFmtId="170" fontId="2" fillId="11" borderId="2" xfId="2" applyNumberFormat="1" applyFont="1" applyFill="1" applyBorder="1" applyAlignment="1">
      <alignment horizontal="center" vertical="center" wrapText="1"/>
    </xf>
    <xf numFmtId="170" fontId="0" fillId="0" borderId="1" xfId="2" applyNumberFormat="1" applyFont="1" applyFill="1" applyBorder="1" applyAlignment="1">
      <alignment horizontal="left" indent="1"/>
    </xf>
    <xf numFmtId="170" fontId="2" fillId="12" borderId="1" xfId="2" applyNumberFormat="1" applyFont="1" applyFill="1" applyBorder="1" applyAlignment="1">
      <alignment horizontal="left" vertical="center" wrapText="1" indent="1"/>
    </xf>
    <xf numFmtId="0" fontId="0" fillId="13" borderId="0" xfId="0" applyFill="1"/>
    <xf numFmtId="0" fontId="5" fillId="13" borderId="1" xfId="0" applyFont="1" applyFill="1" applyBorder="1"/>
    <xf numFmtId="0" fontId="8" fillId="13" borderId="0" xfId="0" applyFont="1" applyFill="1"/>
    <xf numFmtId="0" fontId="4" fillId="13" borderId="1" xfId="0" applyFont="1" applyFill="1" applyBorder="1"/>
    <xf numFmtId="170" fontId="8" fillId="0" borderId="0" xfId="0" applyNumberFormat="1" applyFont="1" applyAlignment="1">
      <alignment horizontal="left" indent="1"/>
    </xf>
    <xf numFmtId="9" fontId="14" fillId="0" borderId="1" xfId="3" applyFont="1" applyFill="1" applyBorder="1" applyAlignment="1">
      <alignment horizontal="left" vertical="center" indent="1"/>
    </xf>
    <xf numFmtId="168" fontId="14" fillId="0" borderId="1" xfId="2" applyNumberFormat="1" applyFont="1" applyFill="1" applyBorder="1" applyAlignment="1">
      <alignment horizontal="left" vertical="center" indent="1"/>
    </xf>
    <xf numFmtId="0" fontId="13" fillId="0" borderId="1" xfId="0" applyFont="1" applyBorder="1" applyAlignment="1">
      <alignment horizontal="center"/>
    </xf>
    <xf numFmtId="170" fontId="13" fillId="0" borderId="1" xfId="2" applyNumberFormat="1" applyFont="1" applyFill="1" applyBorder="1" applyAlignment="1">
      <alignment horizontal="left" indent="1"/>
    </xf>
    <xf numFmtId="168" fontId="13" fillId="0" borderId="1" xfId="0" applyNumberFormat="1" applyFont="1" applyBorder="1" applyAlignment="1">
      <alignment horizontal="left" indent="1"/>
    </xf>
    <xf numFmtId="170" fontId="0" fillId="0" borderId="0" xfId="2" applyNumberFormat="1" applyFont="1" applyFill="1" applyAlignment="1">
      <alignment horizontal="left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left" vertical="center" indent="1"/>
    </xf>
    <xf numFmtId="0" fontId="14" fillId="0" borderId="1" xfId="0" applyFont="1" applyBorder="1" applyAlignment="1">
      <alignment horizontal="left" vertical="center" indent="1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justify" wrapText="1" inden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9" fontId="4" fillId="0" borderId="1" xfId="3" applyFont="1" applyFill="1" applyBorder="1" applyAlignment="1">
      <alignment horizontal="center" vertical="center"/>
    </xf>
    <xf numFmtId="168" fontId="4" fillId="0" borderId="1" xfId="2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0" fontId="0" fillId="0" borderId="1" xfId="2" applyNumberFormat="1" applyFont="1" applyFill="1" applyBorder="1" applyAlignment="1">
      <alignment horizontal="left" vertical="center"/>
    </xf>
    <xf numFmtId="168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 indent="1"/>
    </xf>
    <xf numFmtId="0" fontId="17" fillId="0" borderId="1" xfId="0" applyFont="1" applyBorder="1" applyAlignment="1">
      <alignment horizontal="center"/>
    </xf>
    <xf numFmtId="9" fontId="17" fillId="0" borderId="1" xfId="3" applyFont="1" applyFill="1" applyBorder="1" applyAlignment="1">
      <alignment horizontal="left" vertical="center" indent="1"/>
    </xf>
    <xf numFmtId="168" fontId="17" fillId="0" borderId="1" xfId="2" applyNumberFormat="1" applyFont="1" applyFill="1" applyBorder="1" applyAlignment="1">
      <alignment horizontal="left" vertical="center" indent="1"/>
    </xf>
    <xf numFmtId="0" fontId="16" fillId="0" borderId="1" xfId="0" applyFont="1" applyBorder="1" applyAlignment="1">
      <alignment horizontal="center"/>
    </xf>
    <xf numFmtId="170" fontId="16" fillId="0" borderId="1" xfId="2" applyNumberFormat="1" applyFont="1" applyFill="1" applyBorder="1" applyAlignment="1">
      <alignment horizontal="left" indent="1"/>
    </xf>
    <xf numFmtId="168" fontId="16" fillId="0" borderId="1" xfId="0" applyNumberFormat="1" applyFont="1" applyBorder="1" applyAlignment="1">
      <alignment horizontal="left" indent="1"/>
    </xf>
    <xf numFmtId="0" fontId="5" fillId="0" borderId="1" xfId="0" applyFont="1" applyFill="1" applyBorder="1" applyAlignment="1">
      <alignment horizontal="left" wrapText="1" indent="1"/>
    </xf>
    <xf numFmtId="0" fontId="5" fillId="0" borderId="1" xfId="0" applyFont="1" applyFill="1" applyBorder="1" applyAlignment="1">
      <alignment horizontal="center"/>
    </xf>
    <xf numFmtId="172" fontId="5" fillId="0" borderId="1" xfId="0" applyNumberFormat="1" applyFont="1" applyFill="1" applyBorder="1" applyAlignment="1">
      <alignment horizontal="left" vertical="center" indent="1"/>
    </xf>
    <xf numFmtId="172" fontId="4" fillId="0" borderId="1" xfId="0" applyNumberFormat="1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 inden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inden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wrapText="1" indent="1"/>
    </xf>
    <xf numFmtId="0" fontId="17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 indent="1"/>
    </xf>
    <xf numFmtId="170" fontId="8" fillId="0" borderId="0" xfId="2" applyNumberFormat="1" applyFont="1" applyAlignment="1">
      <alignment horizontal="center"/>
    </xf>
    <xf numFmtId="168" fontId="2" fillId="11" borderId="1" xfId="2" applyNumberFormat="1" applyFont="1" applyFill="1" applyBorder="1" applyAlignment="1">
      <alignment horizontal="left" vertical="center" indent="1"/>
    </xf>
    <xf numFmtId="0" fontId="5" fillId="14" borderId="1" xfId="0" applyFont="1" applyFill="1" applyBorder="1" applyAlignment="1">
      <alignment horizontal="left" wrapText="1" indent="1"/>
    </xf>
    <xf numFmtId="0" fontId="5" fillId="14" borderId="1" xfId="0" applyFont="1" applyFill="1" applyBorder="1" applyAlignment="1">
      <alignment horizontal="center"/>
    </xf>
    <xf numFmtId="172" fontId="5" fillId="14" borderId="1" xfId="0" applyNumberFormat="1" applyFont="1" applyFill="1" applyBorder="1" applyAlignment="1">
      <alignment horizontal="left" vertical="center" indent="1"/>
    </xf>
    <xf numFmtId="9" fontId="4" fillId="14" borderId="1" xfId="3" applyFont="1" applyFill="1" applyBorder="1" applyAlignment="1">
      <alignment horizontal="left" vertical="center" indent="1"/>
    </xf>
    <xf numFmtId="170" fontId="5" fillId="14" borderId="1" xfId="2" applyNumberFormat="1" applyFont="1" applyFill="1" applyBorder="1" applyAlignment="1">
      <alignment horizontal="left" vertical="center" indent="1"/>
    </xf>
    <xf numFmtId="168" fontId="5" fillId="14" borderId="1" xfId="2" applyNumberFormat="1" applyFont="1" applyFill="1" applyBorder="1" applyAlignment="1">
      <alignment horizontal="left" vertical="center" indent="1"/>
    </xf>
    <xf numFmtId="168" fontId="4" fillId="14" borderId="1" xfId="2" applyNumberFormat="1" applyFont="1" applyFill="1" applyBorder="1" applyAlignment="1">
      <alignment horizontal="left" vertical="center" indent="1"/>
    </xf>
    <xf numFmtId="0" fontId="8" fillId="14" borderId="1" xfId="0" applyFont="1" applyFill="1" applyBorder="1" applyAlignment="1">
      <alignment horizontal="center"/>
    </xf>
    <xf numFmtId="170" fontId="8" fillId="14" borderId="1" xfId="2" applyNumberFormat="1" applyFont="1" applyFill="1" applyBorder="1" applyAlignment="1">
      <alignment horizontal="left" indent="1"/>
    </xf>
    <xf numFmtId="168" fontId="8" fillId="14" borderId="1" xfId="0" applyNumberFormat="1" applyFont="1" applyFill="1" applyBorder="1" applyAlignment="1">
      <alignment horizontal="left" indent="1"/>
    </xf>
    <xf numFmtId="0" fontId="0" fillId="0" borderId="0" xfId="0" applyFill="1"/>
    <xf numFmtId="0" fontId="5" fillId="0" borderId="1" xfId="0" applyFont="1" applyFill="1" applyBorder="1"/>
    <xf numFmtId="0" fontId="13" fillId="0" borderId="1" xfId="0" applyFont="1" applyFill="1" applyBorder="1" applyAlignment="1">
      <alignment horizontal="center"/>
    </xf>
    <xf numFmtId="168" fontId="8" fillId="0" borderId="1" xfId="0" applyNumberFormat="1" applyFont="1" applyFill="1" applyBorder="1" applyAlignment="1">
      <alignment horizontal="left" indent="1"/>
    </xf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/>
    </xf>
    <xf numFmtId="172" fontId="14" fillId="0" borderId="1" xfId="0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172" fontId="4" fillId="0" borderId="1" xfId="0" applyNumberFormat="1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wrapText="1" indent="1"/>
    </xf>
    <xf numFmtId="0" fontId="0" fillId="0" borderId="3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8" fillId="0" borderId="30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center" vertical="center" wrapText="1"/>
    </xf>
    <xf numFmtId="172" fontId="2" fillId="11" borderId="1" xfId="0" applyNumberFormat="1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left" vertical="center" wrapText="1" indent="1"/>
    </xf>
    <xf numFmtId="0" fontId="11" fillId="11" borderId="1" xfId="0" applyFont="1" applyFill="1" applyBorder="1" applyAlignment="1">
      <alignment horizontal="left" vertical="center" wrapText="1" indent="1"/>
    </xf>
    <xf numFmtId="0" fontId="0" fillId="4" borderId="0" xfId="0" applyFill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</cellXfs>
  <cellStyles count="11">
    <cellStyle name="Millares" xfId="4" builtinId="3"/>
    <cellStyle name="Millares [0]" xfId="1" builtinId="6"/>
    <cellStyle name="Millares [0] 2" xfId="5"/>
    <cellStyle name="Millares [0] 2 2" xfId="9"/>
    <cellStyle name="Millares [0] 3" xfId="7"/>
    <cellStyle name="Millares 2" xfId="6"/>
    <cellStyle name="Millares 2 2" xfId="10"/>
    <cellStyle name="Millares 3" xf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009999"/>
      <color rgb="FFFF0000"/>
      <color rgb="FFFFFFCC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Ke11aad3bio10aa\d\Users\COORDINADOR%20BOGOTA\Downloads\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CTURACION" refreshedDate="45085.392643287036" createdVersion="8" refreshedVersion="8" minRefreshableVersion="3" recordCount="170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8">
      <sharedItems containsSemiMixedTypes="0" containsString="0" containsNumber="1" minValue="32520.191886222219" maxValue="59052336.168064013"/>
    </cacheField>
    <cacheField name="SUBTOTAL" numFmtId="168">
      <sharedItems containsSemiMixedTypes="0" containsString="0" containsNumber="1" minValue="439022.59046399995" maxValue="797206538.2688638"/>
    </cacheField>
    <cacheField name="BASE IVA" numFmtId="168">
      <sharedItems containsSemiMixedTypes="0" containsString="0" containsNumber="1" minValue="43902.259046399995" maxValue="79720653.82688646"/>
    </cacheField>
    <cacheField name="IVA 19%" numFmtId="168">
      <sharedItems containsSemiMixedTypes="0" containsString="0" containsNumber="1" minValue="8341.4292188159998" maxValue="15146924.227108426"/>
    </cacheField>
    <cacheField name="TOTAL" numFmtId="168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8" showAll="0"/>
    <pivotField numFmtId="168" showAll="0"/>
    <pivotField numFmtId="168" showAll="0"/>
    <pivotField numFmtId="168" showAll="0"/>
    <pivotField dataField="1" numFmtId="168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B26" sqref="B26"/>
    </sheetView>
  </sheetViews>
  <sheetFormatPr baseColWidth="10" defaultRowHeight="15" x14ac:dyDescent="0.25"/>
  <cols>
    <col min="1" max="1" width="51.7109375" bestFit="1" customWidth="1"/>
    <col min="2" max="2" width="23.42578125" style="80" bestFit="1" customWidth="1"/>
    <col min="3" max="3" width="16.85546875" style="80" bestFit="1" customWidth="1"/>
  </cols>
  <sheetData>
    <row r="3" spans="1:3" x14ac:dyDescent="0.25">
      <c r="A3" s="121" t="s">
        <v>220</v>
      </c>
      <c r="B3" s="80" t="s">
        <v>223</v>
      </c>
      <c r="C3" s="80" t="s">
        <v>224</v>
      </c>
    </row>
    <row r="4" spans="1:3" x14ac:dyDescent="0.25">
      <c r="A4" s="122" t="s">
        <v>17</v>
      </c>
      <c r="B4" s="80">
        <v>57316838.199466676</v>
      </c>
      <c r="C4" s="80">
        <v>63078326.775277078</v>
      </c>
    </row>
    <row r="5" spans="1:3" x14ac:dyDescent="0.25">
      <c r="A5" s="122" t="s">
        <v>57</v>
      </c>
      <c r="B5" s="80">
        <v>16310908.742933333</v>
      </c>
      <c r="C5" s="80">
        <v>17950481.289772991</v>
      </c>
    </row>
    <row r="6" spans="1:3" x14ac:dyDescent="0.25">
      <c r="A6" s="122" t="s">
        <v>176</v>
      </c>
      <c r="B6" s="80">
        <v>752033.06880000001</v>
      </c>
      <c r="C6" s="80">
        <v>827627.43287577608</v>
      </c>
    </row>
    <row r="7" spans="1:3" x14ac:dyDescent="0.25">
      <c r="A7" s="122" t="s">
        <v>74</v>
      </c>
      <c r="B7" s="80">
        <v>6580289.352</v>
      </c>
      <c r="C7" s="80">
        <v>7241740.0376630407</v>
      </c>
    </row>
    <row r="8" spans="1:3" x14ac:dyDescent="0.25">
      <c r="A8" s="122" t="s">
        <v>16</v>
      </c>
      <c r="B8" s="80">
        <v>113871484.40159994</v>
      </c>
      <c r="C8" s="80">
        <v>125317846.01364875</v>
      </c>
    </row>
    <row r="9" spans="1:3" x14ac:dyDescent="0.25">
      <c r="A9" s="122" t="s">
        <v>20</v>
      </c>
      <c r="B9" s="80">
        <v>16006031.943999998</v>
      </c>
      <c r="C9" s="80">
        <v>17614958.275010876</v>
      </c>
    </row>
    <row r="10" spans="1:3" x14ac:dyDescent="0.25">
      <c r="A10" s="122" t="s">
        <v>19</v>
      </c>
      <c r="B10" s="80">
        <v>21341375.925333332</v>
      </c>
      <c r="C10" s="80">
        <v>23486611.033347841</v>
      </c>
    </row>
    <row r="11" spans="1:3" x14ac:dyDescent="0.25">
      <c r="A11" s="122" t="s">
        <v>198</v>
      </c>
      <c r="B11" s="80">
        <v>3556895.9875555551</v>
      </c>
      <c r="C11" s="80">
        <v>3914435.1722246394</v>
      </c>
    </row>
    <row r="12" spans="1:3" x14ac:dyDescent="0.25">
      <c r="A12" s="122" t="s">
        <v>26</v>
      </c>
      <c r="B12" s="80">
        <v>10213400</v>
      </c>
      <c r="C12" s="80">
        <v>11448200.060000001</v>
      </c>
    </row>
    <row r="13" spans="1:3" x14ac:dyDescent="0.25">
      <c r="A13" s="122" t="s">
        <v>15</v>
      </c>
      <c r="B13" s="80">
        <v>927036273.33333302</v>
      </c>
      <c r="C13" s="80">
        <v>1020221959.5288016</v>
      </c>
    </row>
    <row r="14" spans="1:3" x14ac:dyDescent="0.25">
      <c r="A14" s="122" t="s">
        <v>21</v>
      </c>
      <c r="B14" s="80">
        <v>8943052.7687111106</v>
      </c>
      <c r="C14" s="80">
        <v>9842008.4330219515</v>
      </c>
    </row>
    <row r="15" spans="1:3" x14ac:dyDescent="0.25">
      <c r="A15" s="122" t="s">
        <v>199</v>
      </c>
      <c r="B15" s="80">
        <v>406502.39857777773</v>
      </c>
      <c r="C15" s="80">
        <v>447364.01968281594</v>
      </c>
    </row>
    <row r="16" spans="1:3" x14ac:dyDescent="0.25">
      <c r="A16" s="122" t="s">
        <v>183</v>
      </c>
      <c r="B16" s="80">
        <v>6097535.978666666</v>
      </c>
      <c r="C16" s="80">
        <v>6710460.2952422397</v>
      </c>
    </row>
    <row r="17" spans="1:3" x14ac:dyDescent="0.25">
      <c r="A17" s="122" t="s">
        <v>221</v>
      </c>
      <c r="B17" s="80">
        <v>1188432622.1009774</v>
      </c>
      <c r="C17" s="80">
        <v>1308102018.3665683</v>
      </c>
    </row>
    <row r="18" spans="1:3" x14ac:dyDescent="0.25">
      <c r="A18" s="122" t="s">
        <v>222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3:AD177"/>
  <sheetViews>
    <sheetView showGridLines="0" tabSelected="1" topLeftCell="B132" zoomScale="85" zoomScaleNormal="85" zoomScaleSheetLayoutView="80" workbookViewId="0">
      <selection activeCell="T156" sqref="T156"/>
    </sheetView>
  </sheetViews>
  <sheetFormatPr baseColWidth="10" defaultRowHeight="15" x14ac:dyDescent="0.25"/>
  <cols>
    <col min="1" max="1" width="0" hidden="1" customWidth="1"/>
    <col min="2" max="2" width="3" customWidth="1"/>
    <col min="3" max="3" width="5.140625" hidden="1" customWidth="1"/>
    <col min="4" max="4" width="38.5703125" style="179" customWidth="1"/>
    <col min="5" max="5" width="13.7109375" style="67" bestFit="1" customWidth="1"/>
    <col min="6" max="6" width="56" style="179" customWidth="1"/>
    <col min="7" max="7" width="7.5703125" style="67" customWidth="1"/>
    <col min="8" max="8" width="9.5703125" style="67" customWidth="1"/>
    <col min="9" max="9" width="8.140625" style="67" customWidth="1"/>
    <col min="10" max="10" width="16.85546875" style="169" hidden="1" customWidth="1"/>
    <col min="11" max="11" width="15.42578125" style="169" hidden="1" customWidth="1"/>
    <col min="12" max="12" width="9.5703125" style="141" hidden="1" customWidth="1"/>
    <col min="13" max="13" width="16.28515625" style="212" hidden="1" customWidth="1"/>
    <col min="14" max="14" width="16.85546875" style="141" hidden="1" customWidth="1"/>
    <col min="15" max="15" width="15.42578125" style="141" hidden="1" customWidth="1"/>
    <col min="16" max="16" width="18" style="141" hidden="1" customWidth="1"/>
    <col min="17" max="17" width="17.140625" style="141" customWidth="1"/>
    <col min="18" max="18" width="15.140625" style="67" bestFit="1" customWidth="1"/>
    <col min="19" max="19" width="14.28515625" style="212" customWidth="1"/>
    <col min="20" max="20" width="35.140625" style="141" customWidth="1"/>
    <col min="21" max="21" width="25.140625" style="141" customWidth="1"/>
    <col min="22" max="22" width="19" style="67" bestFit="1" customWidth="1"/>
    <col min="23" max="23" width="11.42578125" style="67"/>
    <col min="24" max="24" width="15.140625" style="67" bestFit="1" customWidth="1"/>
  </cols>
  <sheetData>
    <row r="3" spans="2:24" ht="15" customHeight="1" x14ac:dyDescent="0.25">
      <c r="B3" s="303" t="s">
        <v>225</v>
      </c>
      <c r="C3" s="303"/>
      <c r="D3" s="303"/>
      <c r="E3" s="303"/>
      <c r="F3" s="303"/>
      <c r="G3" s="303"/>
      <c r="H3" s="303"/>
      <c r="I3" s="303"/>
      <c r="J3" s="304"/>
      <c r="K3" s="304"/>
      <c r="L3" s="303"/>
      <c r="M3" s="303"/>
      <c r="N3" s="303"/>
      <c r="O3" s="303"/>
      <c r="P3" s="303"/>
      <c r="Q3" s="303"/>
      <c r="R3" s="305"/>
      <c r="S3" s="305"/>
      <c r="T3" s="305" t="s">
        <v>306</v>
      </c>
    </row>
    <row r="4" spans="2:24" ht="27" customHeight="1" x14ac:dyDescent="0.25">
      <c r="B4" s="303" t="s">
        <v>1</v>
      </c>
      <c r="C4" s="303"/>
      <c r="D4" s="303"/>
      <c r="E4" s="303"/>
      <c r="F4" s="303"/>
      <c r="G4" s="303"/>
      <c r="H4" s="303"/>
      <c r="I4" s="303"/>
      <c r="J4" s="304"/>
      <c r="K4" s="304"/>
      <c r="L4" s="303"/>
      <c r="M4" s="303"/>
      <c r="N4" s="303"/>
      <c r="O4" s="303"/>
      <c r="P4" s="303"/>
      <c r="Q4" s="303"/>
      <c r="R4" s="306"/>
      <c r="S4" s="306"/>
      <c r="T4" s="306"/>
    </row>
    <row r="5" spans="2:24" x14ac:dyDescent="0.25">
      <c r="B5" s="303" t="s">
        <v>326</v>
      </c>
      <c r="C5" s="303"/>
      <c r="D5" s="303"/>
      <c r="E5" s="303"/>
      <c r="F5" s="303"/>
      <c r="G5" s="303"/>
      <c r="H5" s="303"/>
      <c r="I5" s="303"/>
      <c r="J5" s="304"/>
      <c r="K5" s="304"/>
      <c r="L5" s="303"/>
      <c r="M5" s="303"/>
      <c r="N5" s="303"/>
      <c r="O5" s="303"/>
      <c r="P5" s="303"/>
      <c r="Q5" s="303"/>
      <c r="R5" s="305"/>
      <c r="S5" s="305"/>
      <c r="T5" s="305"/>
    </row>
    <row r="6" spans="2:24" x14ac:dyDescent="0.25">
      <c r="B6" s="124"/>
      <c r="C6" s="124"/>
      <c r="D6" s="142"/>
      <c r="E6" s="124"/>
      <c r="F6" s="142"/>
      <c r="G6" s="124"/>
      <c r="H6" s="124"/>
      <c r="I6" s="124"/>
      <c r="J6" s="143"/>
      <c r="K6" s="143"/>
      <c r="L6" s="142"/>
      <c r="M6" s="209"/>
      <c r="N6" s="142"/>
      <c r="O6" s="142"/>
      <c r="P6" s="142"/>
      <c r="Q6" s="142"/>
      <c r="R6" s="124"/>
      <c r="S6" s="209"/>
      <c r="T6" s="142"/>
    </row>
    <row r="7" spans="2:24" s="67" customFormat="1" ht="24" customHeight="1" x14ac:dyDescent="0.25">
      <c r="B7" s="125" t="s">
        <v>2</v>
      </c>
      <c r="C7" s="125" t="s">
        <v>3</v>
      </c>
      <c r="D7" s="124" t="s">
        <v>4</v>
      </c>
      <c r="E7" s="189" t="s">
        <v>187</v>
      </c>
      <c r="F7" s="124" t="s">
        <v>6</v>
      </c>
      <c r="G7" s="124" t="s">
        <v>217</v>
      </c>
      <c r="H7" s="124" t="s">
        <v>180</v>
      </c>
      <c r="I7" s="124" t="s">
        <v>186</v>
      </c>
      <c r="J7" s="214" t="s">
        <v>8</v>
      </c>
      <c r="K7" s="214" t="s">
        <v>321</v>
      </c>
      <c r="L7" s="124" t="s">
        <v>218</v>
      </c>
      <c r="M7" s="215" t="s">
        <v>219</v>
      </c>
      <c r="N7" s="124" t="s">
        <v>10</v>
      </c>
      <c r="O7" s="124" t="s">
        <v>11</v>
      </c>
      <c r="P7" s="124" t="s">
        <v>12</v>
      </c>
      <c r="Q7" s="124" t="s">
        <v>13</v>
      </c>
      <c r="R7" s="125" t="s">
        <v>307</v>
      </c>
      <c r="S7" s="215" t="s">
        <v>308</v>
      </c>
      <c r="T7" s="124" t="s">
        <v>309</v>
      </c>
    </row>
    <row r="8" spans="2:24" s="135" customFormat="1" x14ac:dyDescent="0.25">
      <c r="B8" s="298"/>
      <c r="C8" s="133" t="s">
        <v>225</v>
      </c>
      <c r="D8" s="144" t="s">
        <v>89</v>
      </c>
      <c r="E8" s="190">
        <v>1</v>
      </c>
      <c r="F8" s="251" t="s">
        <v>16</v>
      </c>
      <c r="G8" s="252">
        <v>1</v>
      </c>
      <c r="H8" s="252">
        <v>30</v>
      </c>
      <c r="I8" s="252">
        <v>30</v>
      </c>
      <c r="J8" s="253">
        <f>+(((((1750905*9.77)*47.59%)/13*12)/30)*I8)*E8</f>
        <v>7514684.387459999</v>
      </c>
      <c r="K8" s="253">
        <f>1800*2/30*I8</f>
        <v>3600</v>
      </c>
      <c r="L8" s="147">
        <v>0.08</v>
      </c>
      <c r="M8" s="210">
        <f t="shared" ref="M8:M15" si="0">(J8+K8)*L8</f>
        <v>601462.75099679991</v>
      </c>
      <c r="N8" s="148">
        <f>J8+K8+M8</f>
        <v>8119747.1384567991</v>
      </c>
      <c r="O8" s="148">
        <f t="shared" ref="O8:O26" si="1">N8*10%</f>
        <v>811974.71384568</v>
      </c>
      <c r="P8" s="148">
        <f t="shared" ref="P8:P26" si="2">+O8*19%</f>
        <v>154275.1956306792</v>
      </c>
      <c r="Q8" s="148">
        <f>N8+P8</f>
        <v>8274022.334087478</v>
      </c>
      <c r="R8" s="205"/>
      <c r="S8" s="157"/>
      <c r="T8" s="150">
        <f>Q8-S8</f>
        <v>8274022.334087478</v>
      </c>
      <c r="U8" s="151"/>
      <c r="V8" s="134"/>
      <c r="W8" s="134"/>
      <c r="X8" s="134"/>
    </row>
    <row r="9" spans="2:24" s="135" customFormat="1" x14ac:dyDescent="0.25">
      <c r="B9" s="298"/>
      <c r="C9" s="133" t="s">
        <v>225</v>
      </c>
      <c r="D9" s="146" t="s">
        <v>90</v>
      </c>
      <c r="E9" s="190">
        <v>1</v>
      </c>
      <c r="F9" s="251" t="s">
        <v>15</v>
      </c>
      <c r="G9" s="252">
        <v>1</v>
      </c>
      <c r="H9" s="252">
        <v>30</v>
      </c>
      <c r="I9" s="252">
        <v>30</v>
      </c>
      <c r="J9" s="253">
        <f>+(((1750905*9.77)/30)*I9)*E9</f>
        <v>17106341.849999998</v>
      </c>
      <c r="K9" s="253">
        <f>1800*3/30*I9</f>
        <v>5400</v>
      </c>
      <c r="L9" s="147">
        <v>0.08</v>
      </c>
      <c r="M9" s="210">
        <f t="shared" si="0"/>
        <v>1368939.3479999998</v>
      </c>
      <c r="N9" s="148">
        <f>J9+K9+M9</f>
        <v>18480681.197999999</v>
      </c>
      <c r="O9" s="148">
        <f t="shared" si="1"/>
        <v>1848068.1198</v>
      </c>
      <c r="P9" s="148">
        <f t="shared" si="2"/>
        <v>351132.94276200002</v>
      </c>
      <c r="Q9" s="148">
        <f t="shared" ref="Q9:Q26" si="3">N9+P9</f>
        <v>18831814.140761998</v>
      </c>
      <c r="R9" s="205"/>
      <c r="S9" s="157"/>
      <c r="T9" s="150">
        <f t="shared" ref="T9:T27" si="4">Q9-S9</f>
        <v>18831814.140761998</v>
      </c>
      <c r="U9" s="151"/>
      <c r="V9" s="134"/>
      <c r="W9" s="134"/>
      <c r="X9" s="134"/>
    </row>
    <row r="10" spans="2:24" s="135" customFormat="1" x14ac:dyDescent="0.25">
      <c r="B10" s="298"/>
      <c r="C10" s="133" t="s">
        <v>225</v>
      </c>
      <c r="D10" s="146" t="s">
        <v>122</v>
      </c>
      <c r="E10" s="190">
        <v>1</v>
      </c>
      <c r="F10" s="251" t="s">
        <v>16</v>
      </c>
      <c r="G10" s="252">
        <v>1</v>
      </c>
      <c r="H10" s="252">
        <v>30</v>
      </c>
      <c r="I10" s="252">
        <v>30</v>
      </c>
      <c r="J10" s="253">
        <f>+(((((1750905*9.77)*47.59%)/13*12)/30)*I10)*E10</f>
        <v>7514684.387459999</v>
      </c>
      <c r="K10" s="253">
        <f>1800*2/30*I10</f>
        <v>3600</v>
      </c>
      <c r="L10" s="147">
        <v>0.08</v>
      </c>
      <c r="M10" s="210">
        <f t="shared" si="0"/>
        <v>601462.75099679991</v>
      </c>
      <c r="N10" s="148">
        <f t="shared" ref="N10:N73" si="5">J10+K10+M10</f>
        <v>8119747.1384567991</v>
      </c>
      <c r="O10" s="148">
        <f t="shared" si="1"/>
        <v>811974.71384568</v>
      </c>
      <c r="P10" s="148">
        <f t="shared" si="2"/>
        <v>154275.1956306792</v>
      </c>
      <c r="Q10" s="148">
        <f>N10+P10</f>
        <v>8274022.334087478</v>
      </c>
      <c r="R10" s="205"/>
      <c r="S10" s="157"/>
      <c r="T10" s="150">
        <f t="shared" si="4"/>
        <v>8274022.334087478</v>
      </c>
      <c r="U10" s="151"/>
      <c r="V10" s="134"/>
      <c r="W10" s="134"/>
      <c r="X10" s="134"/>
    </row>
    <row r="11" spans="2:24" s="135" customFormat="1" ht="29.25" customHeight="1" x14ac:dyDescent="0.25">
      <c r="B11" s="298"/>
      <c r="C11" s="133" t="s">
        <v>225</v>
      </c>
      <c r="D11" s="144" t="s">
        <v>312</v>
      </c>
      <c r="E11" s="190">
        <v>1</v>
      </c>
      <c r="F11" s="251" t="s">
        <v>17</v>
      </c>
      <c r="G11" s="252">
        <v>1</v>
      </c>
      <c r="H11" s="252">
        <v>30</v>
      </c>
      <c r="I11" s="252">
        <v>24</v>
      </c>
      <c r="J11" s="253">
        <f>+(((((1750905*9.77)*47.59%)/13*12)/30)*I11)*E11</f>
        <v>6011747.5099679995</v>
      </c>
      <c r="K11" s="253">
        <f>1800*2</f>
        <v>3600</v>
      </c>
      <c r="L11" s="147">
        <v>0.08</v>
      </c>
      <c r="M11" s="210">
        <f t="shared" si="0"/>
        <v>481227.80079744</v>
      </c>
      <c r="N11" s="148">
        <f t="shared" si="5"/>
        <v>6496575.3107654396</v>
      </c>
      <c r="O11" s="148">
        <f t="shared" si="1"/>
        <v>649657.53107654396</v>
      </c>
      <c r="P11" s="148">
        <f t="shared" si="2"/>
        <v>123434.93090454335</v>
      </c>
      <c r="Q11" s="148">
        <f t="shared" ref="Q11" si="6">N11+P11</f>
        <v>6620010.2416699827</v>
      </c>
      <c r="R11" s="205"/>
      <c r="S11" s="157"/>
      <c r="T11" s="150">
        <f t="shared" si="4"/>
        <v>6620010.2416699827</v>
      </c>
      <c r="U11" s="152"/>
      <c r="V11" s="134"/>
      <c r="W11" s="134"/>
      <c r="X11" s="134"/>
    </row>
    <row r="12" spans="2:24" s="135" customFormat="1" x14ac:dyDescent="0.25">
      <c r="B12" s="298"/>
      <c r="C12" s="133" t="s">
        <v>225</v>
      </c>
      <c r="D12" s="146" t="s">
        <v>181</v>
      </c>
      <c r="E12" s="190">
        <v>1</v>
      </c>
      <c r="F12" s="251" t="s">
        <v>15</v>
      </c>
      <c r="G12" s="252">
        <v>1</v>
      </c>
      <c r="H12" s="252">
        <v>30</v>
      </c>
      <c r="I12" s="252">
        <v>30</v>
      </c>
      <c r="J12" s="253">
        <f>+(((1750905*9.77)/30)*I12)*E12</f>
        <v>17106341.849999998</v>
      </c>
      <c r="K12" s="253">
        <f>1800*3/30*I12</f>
        <v>5400</v>
      </c>
      <c r="L12" s="147">
        <v>0.08</v>
      </c>
      <c r="M12" s="210">
        <f t="shared" si="0"/>
        <v>1368939.3479999998</v>
      </c>
      <c r="N12" s="148">
        <f t="shared" si="5"/>
        <v>18480681.197999999</v>
      </c>
      <c r="O12" s="148">
        <f t="shared" si="1"/>
        <v>1848068.1198</v>
      </c>
      <c r="P12" s="148">
        <f t="shared" si="2"/>
        <v>351132.94276200002</v>
      </c>
      <c r="Q12" s="148">
        <f t="shared" si="3"/>
        <v>18831814.140761998</v>
      </c>
      <c r="R12" s="205"/>
      <c r="S12" s="157"/>
      <c r="T12" s="150">
        <f t="shared" si="4"/>
        <v>18831814.140761998</v>
      </c>
      <c r="U12" s="151"/>
      <c r="V12" s="134"/>
      <c r="W12" s="134"/>
      <c r="X12" s="134"/>
    </row>
    <row r="13" spans="2:24" s="135" customFormat="1" ht="26.25" x14ac:dyDescent="0.25">
      <c r="B13" s="298"/>
      <c r="C13" s="133" t="s">
        <v>225</v>
      </c>
      <c r="D13" s="146" t="s">
        <v>313</v>
      </c>
      <c r="E13" s="190">
        <v>1</v>
      </c>
      <c r="F13" s="251" t="s">
        <v>17</v>
      </c>
      <c r="G13" s="252">
        <v>1</v>
      </c>
      <c r="H13" s="252">
        <v>30</v>
      </c>
      <c r="I13" s="252">
        <v>24</v>
      </c>
      <c r="J13" s="253">
        <f>+(((((1750905*9.77)*47.59%)/13*12)/30)*I13)*E13</f>
        <v>6011747.5099679995</v>
      </c>
      <c r="K13" s="253">
        <f>1800*2</f>
        <v>3600</v>
      </c>
      <c r="L13" s="147">
        <v>0.08</v>
      </c>
      <c r="M13" s="210">
        <f t="shared" si="0"/>
        <v>481227.80079744</v>
      </c>
      <c r="N13" s="148">
        <f t="shared" si="5"/>
        <v>6496575.3107654396</v>
      </c>
      <c r="O13" s="148">
        <f t="shared" si="1"/>
        <v>649657.53107654396</v>
      </c>
      <c r="P13" s="148">
        <f t="shared" si="2"/>
        <v>123434.93090454335</v>
      </c>
      <c r="Q13" s="148">
        <f t="shared" si="3"/>
        <v>6620010.2416699827</v>
      </c>
      <c r="R13" s="205"/>
      <c r="S13" s="157"/>
      <c r="T13" s="150">
        <f t="shared" si="4"/>
        <v>6620010.2416699827</v>
      </c>
      <c r="U13" s="151"/>
      <c r="V13" s="134"/>
      <c r="W13" s="134"/>
      <c r="X13" s="134"/>
    </row>
    <row r="14" spans="2:24" s="135" customFormat="1" x14ac:dyDescent="0.25">
      <c r="B14" s="298"/>
      <c r="C14" s="133" t="s">
        <v>225</v>
      </c>
      <c r="D14" s="299" t="s">
        <v>234</v>
      </c>
      <c r="E14" s="190">
        <v>1</v>
      </c>
      <c r="F14" s="251" t="s">
        <v>16</v>
      </c>
      <c r="G14" s="252">
        <v>1</v>
      </c>
      <c r="H14" s="252">
        <v>30</v>
      </c>
      <c r="I14" s="252">
        <v>30</v>
      </c>
      <c r="J14" s="253">
        <f>+(((((1750905*9.77)*47.59%)/13*12)/30)*I14)*E14</f>
        <v>7514684.387459999</v>
      </c>
      <c r="K14" s="253">
        <f>1800*2/30*I14</f>
        <v>3600</v>
      </c>
      <c r="L14" s="147">
        <v>0.08</v>
      </c>
      <c r="M14" s="210">
        <f t="shared" si="0"/>
        <v>601462.75099679991</v>
      </c>
      <c r="N14" s="148">
        <f t="shared" si="5"/>
        <v>8119747.1384567991</v>
      </c>
      <c r="O14" s="148">
        <f t="shared" si="1"/>
        <v>811974.71384568</v>
      </c>
      <c r="P14" s="148">
        <f t="shared" si="2"/>
        <v>154275.1956306792</v>
      </c>
      <c r="Q14" s="148">
        <f>N14+P14</f>
        <v>8274022.334087478</v>
      </c>
      <c r="R14" s="205"/>
      <c r="S14" s="157"/>
      <c r="T14" s="150">
        <f t="shared" si="4"/>
        <v>8274022.334087478</v>
      </c>
      <c r="U14" s="151"/>
      <c r="V14" s="134"/>
      <c r="W14" s="134"/>
      <c r="X14" s="134"/>
    </row>
    <row r="15" spans="2:24" s="135" customFormat="1" x14ac:dyDescent="0.25">
      <c r="B15" s="298"/>
      <c r="C15" s="133" t="s">
        <v>225</v>
      </c>
      <c r="D15" s="299"/>
      <c r="E15" s="190">
        <v>1</v>
      </c>
      <c r="F15" s="251" t="s">
        <v>19</v>
      </c>
      <c r="G15" s="252">
        <v>1</v>
      </c>
      <c r="H15" s="252">
        <v>30</v>
      </c>
      <c r="I15" s="252">
        <v>24</v>
      </c>
      <c r="J15" s="253">
        <f>+(((((1750905*9.77)*47.59%)/13*13)/30)*I15)*E15+(((((1750905*9.77))*52.41%)/11*1)/30*I15)</f>
        <v>7164758.0155745447</v>
      </c>
      <c r="K15" s="253">
        <f>1800*2</f>
        <v>3600</v>
      </c>
      <c r="L15" s="147">
        <v>0.08</v>
      </c>
      <c r="M15" s="210">
        <f t="shared" si="0"/>
        <v>573468.64124596363</v>
      </c>
      <c r="N15" s="148">
        <f t="shared" si="5"/>
        <v>7741826.6568205087</v>
      </c>
      <c r="O15" s="148">
        <f t="shared" si="1"/>
        <v>774182.66568205087</v>
      </c>
      <c r="P15" s="148">
        <f t="shared" si="2"/>
        <v>147094.70647958966</v>
      </c>
      <c r="Q15" s="148">
        <f>N15+P15</f>
        <v>7888921.3633000981</v>
      </c>
      <c r="R15" s="205"/>
      <c r="S15" s="157"/>
      <c r="T15" s="150">
        <f t="shared" si="4"/>
        <v>7888921.3633000981</v>
      </c>
      <c r="U15" s="151"/>
      <c r="V15" s="134"/>
      <c r="W15" s="134"/>
      <c r="X15" s="134"/>
    </row>
    <row r="16" spans="2:24" s="135" customFormat="1" x14ac:dyDescent="0.25">
      <c r="B16" s="298"/>
      <c r="C16" s="133" t="s">
        <v>225</v>
      </c>
      <c r="D16" s="234" t="s">
        <v>233</v>
      </c>
      <c r="E16" s="190">
        <v>1</v>
      </c>
      <c r="F16" s="251" t="s">
        <v>16</v>
      </c>
      <c r="G16" s="252">
        <v>1</v>
      </c>
      <c r="H16" s="252">
        <v>30</v>
      </c>
      <c r="I16" s="252">
        <v>30</v>
      </c>
      <c r="J16" s="253">
        <f>+(((((1750905*9.77)*47.59%)/13*12)/30)*I16)*E16</f>
        <v>7514684.387459999</v>
      </c>
      <c r="K16" s="253">
        <f t="shared" ref="K16:K17" si="7">1800*2/30*I16</f>
        <v>3600</v>
      </c>
      <c r="L16" s="147">
        <v>0.08</v>
      </c>
      <c r="M16" s="210">
        <f t="shared" ref="M16:M17" si="8">(J16+K16)*L16</f>
        <v>601462.75099679991</v>
      </c>
      <c r="N16" s="148">
        <f t="shared" si="5"/>
        <v>8119747.1384567991</v>
      </c>
      <c r="O16" s="148">
        <f t="shared" si="1"/>
        <v>811974.71384568</v>
      </c>
      <c r="P16" s="148">
        <f t="shared" si="2"/>
        <v>154275.1956306792</v>
      </c>
      <c r="Q16" s="148">
        <f t="shared" si="3"/>
        <v>8274022.334087478</v>
      </c>
      <c r="R16" s="205"/>
      <c r="S16" s="157"/>
      <c r="T16" s="150">
        <f t="shared" si="4"/>
        <v>8274022.334087478</v>
      </c>
      <c r="U16" s="151"/>
      <c r="V16" s="134"/>
      <c r="W16" s="134"/>
      <c r="X16" s="134"/>
    </row>
    <row r="17" spans="1:24" s="135" customFormat="1" x14ac:dyDescent="0.25">
      <c r="B17" s="298"/>
      <c r="C17" s="133" t="s">
        <v>225</v>
      </c>
      <c r="D17" s="146" t="s">
        <v>231</v>
      </c>
      <c r="E17" s="190">
        <v>1</v>
      </c>
      <c r="F17" s="251" t="s">
        <v>16</v>
      </c>
      <c r="G17" s="252">
        <v>1</v>
      </c>
      <c r="H17" s="252">
        <v>30</v>
      </c>
      <c r="I17" s="252">
        <v>30</v>
      </c>
      <c r="J17" s="253">
        <f>+(((((1750905*9.77)*47.59%)/13*12)/30)*I17)*E17</f>
        <v>7514684.387459999</v>
      </c>
      <c r="K17" s="253">
        <f t="shared" si="7"/>
        <v>3600</v>
      </c>
      <c r="L17" s="147">
        <v>0.08</v>
      </c>
      <c r="M17" s="210">
        <f t="shared" si="8"/>
        <v>601462.75099679991</v>
      </c>
      <c r="N17" s="148">
        <f t="shared" si="5"/>
        <v>8119747.1384567991</v>
      </c>
      <c r="O17" s="148">
        <f t="shared" si="1"/>
        <v>811974.71384568</v>
      </c>
      <c r="P17" s="148">
        <f t="shared" si="2"/>
        <v>154275.1956306792</v>
      </c>
      <c r="Q17" s="148">
        <f t="shared" si="3"/>
        <v>8274022.334087478</v>
      </c>
      <c r="R17" s="205"/>
      <c r="S17" s="157"/>
      <c r="T17" s="150">
        <f t="shared" si="4"/>
        <v>8274022.334087478</v>
      </c>
      <c r="U17" s="151"/>
      <c r="V17" s="134"/>
      <c r="W17" s="134"/>
      <c r="X17" s="134"/>
    </row>
    <row r="18" spans="1:24" s="135" customFormat="1" ht="23.25" customHeight="1" x14ac:dyDescent="0.25">
      <c r="B18" s="298"/>
      <c r="C18" s="133" t="s">
        <v>225</v>
      </c>
      <c r="D18" s="299" t="s">
        <v>232</v>
      </c>
      <c r="E18" s="190">
        <v>1</v>
      </c>
      <c r="F18" s="251" t="s">
        <v>15</v>
      </c>
      <c r="G18" s="252">
        <v>1</v>
      </c>
      <c r="H18" s="252">
        <v>30</v>
      </c>
      <c r="I18" s="252">
        <v>30</v>
      </c>
      <c r="J18" s="253">
        <f>+(((1750905*9.77)/30)*I18)*E18</f>
        <v>17106341.849999998</v>
      </c>
      <c r="K18" s="253">
        <f>1800*3/30*I18</f>
        <v>5400</v>
      </c>
      <c r="L18" s="147">
        <v>0.08</v>
      </c>
      <c r="M18" s="210">
        <f>(J18+K18)*L18</f>
        <v>1368939.3479999998</v>
      </c>
      <c r="N18" s="148">
        <f t="shared" si="5"/>
        <v>18480681.197999999</v>
      </c>
      <c r="O18" s="148">
        <f t="shared" si="1"/>
        <v>1848068.1198</v>
      </c>
      <c r="P18" s="148">
        <f t="shared" si="2"/>
        <v>351132.94276200002</v>
      </c>
      <c r="Q18" s="148">
        <f t="shared" si="3"/>
        <v>18831814.140761998</v>
      </c>
      <c r="R18" s="205"/>
      <c r="S18" s="157"/>
      <c r="T18" s="150">
        <f t="shared" si="4"/>
        <v>18831814.140761998</v>
      </c>
      <c r="U18" s="151"/>
      <c r="V18" s="134"/>
      <c r="W18" s="134"/>
      <c r="X18" s="134"/>
    </row>
    <row r="19" spans="1:24" s="135" customFormat="1" ht="21.75" customHeight="1" x14ac:dyDescent="0.25">
      <c r="B19" s="298"/>
      <c r="C19" s="133" t="s">
        <v>225</v>
      </c>
      <c r="D19" s="299"/>
      <c r="E19" s="190">
        <v>1</v>
      </c>
      <c r="F19" s="251" t="s">
        <v>21</v>
      </c>
      <c r="G19" s="252">
        <v>1</v>
      </c>
      <c r="H19" s="252">
        <v>30</v>
      </c>
      <c r="I19" s="252">
        <v>24</v>
      </c>
      <c r="J19" s="254">
        <f>+(((((1750905*9.77)*47.59%)/13*8)/30)*I19)*E19</f>
        <v>4007831.673312</v>
      </c>
      <c r="K19" s="254">
        <f>1800*1</f>
        <v>1800</v>
      </c>
      <c r="L19" s="147">
        <v>0.08</v>
      </c>
      <c r="M19" s="208">
        <f>(J19+K19)*L19</f>
        <v>320770.53386496002</v>
      </c>
      <c r="N19" s="148">
        <f t="shared" si="5"/>
        <v>4330402.2071769601</v>
      </c>
      <c r="O19" s="148">
        <f t="shared" si="1"/>
        <v>433040.22071769601</v>
      </c>
      <c r="P19" s="148">
        <f t="shared" si="2"/>
        <v>82277.641936362241</v>
      </c>
      <c r="Q19" s="148">
        <f t="shared" si="3"/>
        <v>4412679.8491133219</v>
      </c>
      <c r="R19" s="205"/>
      <c r="S19" s="157"/>
      <c r="T19" s="150">
        <f t="shared" si="4"/>
        <v>4412679.8491133219</v>
      </c>
      <c r="U19" s="151"/>
      <c r="V19" s="134"/>
      <c r="W19" s="134"/>
      <c r="X19" s="269"/>
    </row>
    <row r="20" spans="1:24" s="135" customFormat="1" ht="26.25" x14ac:dyDescent="0.25">
      <c r="B20" s="298"/>
      <c r="C20" s="133" t="s">
        <v>225</v>
      </c>
      <c r="D20" s="146" t="s">
        <v>230</v>
      </c>
      <c r="E20" s="190">
        <v>1</v>
      </c>
      <c r="F20" s="251" t="s">
        <v>19</v>
      </c>
      <c r="G20" s="252">
        <v>1</v>
      </c>
      <c r="H20" s="252">
        <v>30</v>
      </c>
      <c r="I20" s="252">
        <v>24</v>
      </c>
      <c r="J20" s="253">
        <f>+(((((1750905*9.77)*47.59%)/13*13)/30)*I20)*E20+(((((1750905*9.77))*52.41%)/11*1)/30*I20)</f>
        <v>7164758.0155745447</v>
      </c>
      <c r="K20" s="253">
        <f>1800*2</f>
        <v>3600</v>
      </c>
      <c r="L20" s="147">
        <v>0.08</v>
      </c>
      <c r="M20" s="210">
        <f>(J20+K20)*L20</f>
        <v>573468.64124596363</v>
      </c>
      <c r="N20" s="148">
        <f t="shared" si="5"/>
        <v>7741826.6568205087</v>
      </c>
      <c r="O20" s="148">
        <f t="shared" si="1"/>
        <v>774182.66568205087</v>
      </c>
      <c r="P20" s="148">
        <f t="shared" si="2"/>
        <v>147094.70647958966</v>
      </c>
      <c r="Q20" s="148">
        <f t="shared" si="3"/>
        <v>7888921.3633000981</v>
      </c>
      <c r="R20" s="205"/>
      <c r="S20" s="157"/>
      <c r="T20" s="150">
        <f t="shared" si="4"/>
        <v>7888921.3633000981</v>
      </c>
      <c r="U20" s="151"/>
      <c r="V20" s="134"/>
      <c r="W20" s="134"/>
      <c r="X20" s="134"/>
    </row>
    <row r="21" spans="1:24" s="135" customFormat="1" x14ac:dyDescent="0.25">
      <c r="B21" s="298"/>
      <c r="C21" s="133" t="s">
        <v>225</v>
      </c>
      <c r="D21" s="146" t="s">
        <v>138</v>
      </c>
      <c r="E21" s="190">
        <v>1</v>
      </c>
      <c r="F21" s="251" t="s">
        <v>15</v>
      </c>
      <c r="G21" s="252">
        <v>1</v>
      </c>
      <c r="H21" s="252">
        <v>30</v>
      </c>
      <c r="I21" s="252">
        <v>30</v>
      </c>
      <c r="J21" s="253">
        <f t="shared" ref="J21:J23" si="9">+(((1750905*9.77)/30)*I21)*E21</f>
        <v>17106341.849999998</v>
      </c>
      <c r="K21" s="253">
        <f t="shared" ref="K21:K23" si="10">1800*3/30*I21</f>
        <v>5400</v>
      </c>
      <c r="L21" s="147">
        <v>0.08</v>
      </c>
      <c r="M21" s="210">
        <f t="shared" ref="M21:M23" si="11">(J21+K21)*L21</f>
        <v>1368939.3479999998</v>
      </c>
      <c r="N21" s="148">
        <f t="shared" si="5"/>
        <v>18480681.197999999</v>
      </c>
      <c r="O21" s="148">
        <f t="shared" si="1"/>
        <v>1848068.1198</v>
      </c>
      <c r="P21" s="148">
        <f t="shared" si="2"/>
        <v>351132.94276200002</v>
      </c>
      <c r="Q21" s="148">
        <f t="shared" si="3"/>
        <v>18831814.140761998</v>
      </c>
      <c r="R21" s="205"/>
      <c r="S21" s="157"/>
      <c r="T21" s="150">
        <f t="shared" si="4"/>
        <v>18831814.140761998</v>
      </c>
      <c r="U21" s="151"/>
      <c r="V21" s="134"/>
      <c r="W21" s="134"/>
      <c r="X21" s="134"/>
    </row>
    <row r="22" spans="1:24" s="135" customFormat="1" ht="25.5" x14ac:dyDescent="0.25">
      <c r="B22" s="298"/>
      <c r="C22" s="133" t="s">
        <v>225</v>
      </c>
      <c r="D22" s="144" t="s">
        <v>299</v>
      </c>
      <c r="E22" s="190">
        <v>1</v>
      </c>
      <c r="F22" s="251" t="s">
        <v>15</v>
      </c>
      <c r="G22" s="252">
        <v>1</v>
      </c>
      <c r="H22" s="252">
        <v>30</v>
      </c>
      <c r="I22" s="252">
        <v>30</v>
      </c>
      <c r="J22" s="253">
        <f t="shared" si="9"/>
        <v>17106341.849999998</v>
      </c>
      <c r="K22" s="253">
        <f t="shared" si="10"/>
        <v>5400</v>
      </c>
      <c r="L22" s="147">
        <v>0.08</v>
      </c>
      <c r="M22" s="210">
        <f t="shared" si="11"/>
        <v>1368939.3479999998</v>
      </c>
      <c r="N22" s="148">
        <f t="shared" si="5"/>
        <v>18480681.197999999</v>
      </c>
      <c r="O22" s="148">
        <f t="shared" si="1"/>
        <v>1848068.1198</v>
      </c>
      <c r="P22" s="148">
        <f t="shared" si="2"/>
        <v>351132.94276200002</v>
      </c>
      <c r="Q22" s="148">
        <f t="shared" si="3"/>
        <v>18831814.140761998</v>
      </c>
      <c r="R22" s="205"/>
      <c r="S22" s="157"/>
      <c r="T22" s="150">
        <f t="shared" si="4"/>
        <v>18831814.140761998</v>
      </c>
      <c r="U22" s="151"/>
      <c r="V22" s="134"/>
      <c r="W22" s="134"/>
      <c r="X22" s="134"/>
    </row>
    <row r="23" spans="1:24" s="135" customFormat="1" ht="25.5" x14ac:dyDescent="0.25">
      <c r="B23" s="298"/>
      <c r="C23" s="133" t="s">
        <v>225</v>
      </c>
      <c r="D23" s="144" t="s">
        <v>300</v>
      </c>
      <c r="E23" s="190">
        <v>1</v>
      </c>
      <c r="F23" s="251" t="s">
        <v>15</v>
      </c>
      <c r="G23" s="252">
        <v>1</v>
      </c>
      <c r="H23" s="252">
        <v>30</v>
      </c>
      <c r="I23" s="252">
        <v>30</v>
      </c>
      <c r="J23" s="253">
        <f t="shared" si="9"/>
        <v>17106341.849999998</v>
      </c>
      <c r="K23" s="253">
        <f t="shared" si="10"/>
        <v>5400</v>
      </c>
      <c r="L23" s="147">
        <v>0.08</v>
      </c>
      <c r="M23" s="210">
        <f t="shared" si="11"/>
        <v>1368939.3479999998</v>
      </c>
      <c r="N23" s="148">
        <f t="shared" si="5"/>
        <v>18480681.197999999</v>
      </c>
      <c r="O23" s="148">
        <f t="shared" si="1"/>
        <v>1848068.1198</v>
      </c>
      <c r="P23" s="148">
        <f t="shared" si="2"/>
        <v>351132.94276200002</v>
      </c>
      <c r="Q23" s="148">
        <f t="shared" si="3"/>
        <v>18831814.140761998</v>
      </c>
      <c r="R23" s="205"/>
      <c r="S23" s="157"/>
      <c r="T23" s="150">
        <f t="shared" si="4"/>
        <v>18831814.140761998</v>
      </c>
      <c r="U23" s="151"/>
      <c r="V23" s="134"/>
      <c r="W23" s="134"/>
      <c r="X23" s="134"/>
    </row>
    <row r="24" spans="1:24" s="135" customFormat="1" ht="25.5" x14ac:dyDescent="0.25">
      <c r="B24" s="298"/>
      <c r="C24" s="133" t="s">
        <v>225</v>
      </c>
      <c r="D24" s="144" t="s">
        <v>301</v>
      </c>
      <c r="E24" s="190">
        <v>1</v>
      </c>
      <c r="F24" s="251" t="s">
        <v>16</v>
      </c>
      <c r="G24" s="252">
        <v>1</v>
      </c>
      <c r="H24" s="252">
        <v>30</v>
      </c>
      <c r="I24" s="252">
        <v>30</v>
      </c>
      <c r="J24" s="253">
        <f>+(((((1750905*9.77)*47.59%)/13*12)/30)*I24)*E24</f>
        <v>7514684.387459999</v>
      </c>
      <c r="K24" s="253">
        <f>1800*2/30*I24</f>
        <v>3600</v>
      </c>
      <c r="L24" s="147">
        <v>0.08</v>
      </c>
      <c r="M24" s="210">
        <f>(J24+K24)*L24</f>
        <v>601462.75099679991</v>
      </c>
      <c r="N24" s="148">
        <f t="shared" si="5"/>
        <v>8119747.1384567991</v>
      </c>
      <c r="O24" s="148">
        <f t="shared" si="1"/>
        <v>811974.71384568</v>
      </c>
      <c r="P24" s="148">
        <f t="shared" si="2"/>
        <v>154275.1956306792</v>
      </c>
      <c r="Q24" s="148">
        <f t="shared" si="3"/>
        <v>8274022.334087478</v>
      </c>
      <c r="R24" s="205"/>
      <c r="S24" s="157"/>
      <c r="T24" s="150">
        <f t="shared" si="4"/>
        <v>8274022.334087478</v>
      </c>
      <c r="U24" s="151"/>
      <c r="V24" s="134"/>
      <c r="W24" s="134"/>
      <c r="X24" s="134"/>
    </row>
    <row r="25" spans="1:24" s="135" customFormat="1" ht="29.25" customHeight="1" x14ac:dyDescent="0.25">
      <c r="B25" s="298"/>
      <c r="C25" s="133" t="s">
        <v>225</v>
      </c>
      <c r="D25" s="144" t="s">
        <v>302</v>
      </c>
      <c r="E25" s="190">
        <v>1</v>
      </c>
      <c r="F25" s="251" t="s">
        <v>17</v>
      </c>
      <c r="G25" s="252">
        <v>1</v>
      </c>
      <c r="H25" s="252">
        <v>30</v>
      </c>
      <c r="I25" s="252">
        <v>24</v>
      </c>
      <c r="J25" s="253">
        <f>+(((((1750905*9.77)*47.59%)/13*12)/30)*I25)*E25</f>
        <v>6011747.5099679995</v>
      </c>
      <c r="K25" s="253">
        <f>1800*2</f>
        <v>3600</v>
      </c>
      <c r="L25" s="147">
        <v>0.08</v>
      </c>
      <c r="M25" s="210">
        <f>(J25+K25)*L25</f>
        <v>481227.80079744</v>
      </c>
      <c r="N25" s="148">
        <f t="shared" si="5"/>
        <v>6496575.3107654396</v>
      </c>
      <c r="O25" s="148">
        <f t="shared" si="1"/>
        <v>649657.53107654396</v>
      </c>
      <c r="P25" s="148">
        <f t="shared" si="2"/>
        <v>123434.93090454335</v>
      </c>
      <c r="Q25" s="148">
        <f t="shared" si="3"/>
        <v>6620010.2416699827</v>
      </c>
      <c r="R25" s="205"/>
      <c r="S25" s="157"/>
      <c r="T25" s="150">
        <f t="shared" si="4"/>
        <v>6620010.2416699827</v>
      </c>
      <c r="U25" s="151"/>
      <c r="V25" s="134"/>
      <c r="W25" s="134"/>
      <c r="X25" s="134"/>
    </row>
    <row r="26" spans="1:24" s="135" customFormat="1" x14ac:dyDescent="0.25">
      <c r="B26" s="298"/>
      <c r="C26" s="133" t="s">
        <v>225</v>
      </c>
      <c r="D26" s="146" t="s">
        <v>116</v>
      </c>
      <c r="E26" s="190">
        <v>1</v>
      </c>
      <c r="F26" s="251" t="s">
        <v>15</v>
      </c>
      <c r="G26" s="252">
        <v>1</v>
      </c>
      <c r="H26" s="252">
        <v>30</v>
      </c>
      <c r="I26" s="252">
        <v>30</v>
      </c>
      <c r="J26" s="253">
        <f>+(((1750905*9.77)/30)*I26)*E26</f>
        <v>17106341.849999998</v>
      </c>
      <c r="K26" s="253">
        <f>1800*3/30*I26</f>
        <v>5400</v>
      </c>
      <c r="L26" s="147">
        <v>0.08</v>
      </c>
      <c r="M26" s="210">
        <f>(J26+K26)*L26</f>
        <v>1368939.3479999998</v>
      </c>
      <c r="N26" s="148">
        <f t="shared" si="5"/>
        <v>18480681.197999999</v>
      </c>
      <c r="O26" s="148">
        <f t="shared" si="1"/>
        <v>1848068.1198</v>
      </c>
      <c r="P26" s="148">
        <f t="shared" si="2"/>
        <v>351132.94276200002</v>
      </c>
      <c r="Q26" s="148">
        <f t="shared" si="3"/>
        <v>18831814.140761998</v>
      </c>
      <c r="R26" s="205"/>
      <c r="S26" s="157"/>
      <c r="T26" s="150">
        <f t="shared" si="4"/>
        <v>18831814.140761998</v>
      </c>
      <c r="U26" s="151"/>
      <c r="V26" s="134"/>
      <c r="W26" s="134"/>
      <c r="X26" s="134"/>
    </row>
    <row r="27" spans="1:24" s="135" customFormat="1" ht="16.5" customHeight="1" x14ac:dyDescent="0.25">
      <c r="B27" s="204"/>
      <c r="C27" s="133" t="s">
        <v>225</v>
      </c>
      <c r="D27" s="144" t="s">
        <v>119</v>
      </c>
      <c r="E27" s="190">
        <v>1</v>
      </c>
      <c r="F27" s="251" t="s">
        <v>229</v>
      </c>
      <c r="G27" s="252">
        <v>1</v>
      </c>
      <c r="H27" s="252">
        <v>30</v>
      </c>
      <c r="I27" s="252">
        <v>30</v>
      </c>
      <c r="J27" s="253">
        <f>+((((((1750905*9.77)*47.59%)/13*1)/30)*I27))+((((((1750905*9.77)*52.41%)/11*11)/30*I27)))</f>
        <v>9591657.4625399988</v>
      </c>
      <c r="K27" s="253">
        <f>1800*2/30*I27</f>
        <v>3600</v>
      </c>
      <c r="L27" s="147">
        <v>0.08</v>
      </c>
      <c r="M27" s="210">
        <f>(J27+K27)*L27</f>
        <v>767620.59700319998</v>
      </c>
      <c r="N27" s="148">
        <f t="shared" si="5"/>
        <v>10362878.059543198</v>
      </c>
      <c r="O27" s="148">
        <f>N27*10%</f>
        <v>1036287.8059543199</v>
      </c>
      <c r="P27" s="148">
        <f>+O27*19%</f>
        <v>196894.68313132078</v>
      </c>
      <c r="Q27" s="148">
        <f>N27+P27</f>
        <v>10559772.742674518</v>
      </c>
      <c r="R27" s="205"/>
      <c r="S27" s="157"/>
      <c r="T27" s="150">
        <f t="shared" si="4"/>
        <v>10559772.742674518</v>
      </c>
      <c r="U27" s="152"/>
      <c r="V27" s="134"/>
      <c r="W27" s="134"/>
      <c r="X27" s="134"/>
    </row>
    <row r="28" spans="1:24" x14ac:dyDescent="0.25">
      <c r="B28" s="128"/>
      <c r="C28" s="130"/>
      <c r="D28" s="153"/>
      <c r="E28" s="191">
        <f>+SUM(E8:E27)</f>
        <v>20</v>
      </c>
      <c r="F28" s="153"/>
      <c r="G28" s="196">
        <f>SUM(G8:G27)</f>
        <v>20</v>
      </c>
      <c r="H28" s="196"/>
      <c r="I28" s="191"/>
      <c r="J28" s="154">
        <f>SUM(J8:J27)</f>
        <v>210796746.97166502</v>
      </c>
      <c r="K28" s="154"/>
      <c r="L28" s="153"/>
      <c r="M28" s="211">
        <f>SUM(M8:M27)</f>
        <v>16870363.757733203</v>
      </c>
      <c r="N28" s="270">
        <f t="shared" si="5"/>
        <v>227667110.72939822</v>
      </c>
      <c r="O28" s="154">
        <f>SUM(O8:O27)</f>
        <v>22774991.072939828</v>
      </c>
      <c r="P28" s="154">
        <f>SUM(P8:P27)</f>
        <v>4327248.303858568</v>
      </c>
      <c r="Q28" s="154">
        <f>SUM(Q8:Q27)</f>
        <v>232077159.03325686</v>
      </c>
      <c r="R28" s="196">
        <f t="shared" ref="R28:T28" si="12">SUM(R8:R27)</f>
        <v>0</v>
      </c>
      <c r="S28" s="211">
        <f>SUM(S8:S27)</f>
        <v>0</v>
      </c>
      <c r="T28" s="154">
        <f t="shared" si="12"/>
        <v>232077159.03325686</v>
      </c>
    </row>
    <row r="29" spans="1:24" s="135" customFormat="1" ht="30.75" customHeight="1" x14ac:dyDescent="0.25">
      <c r="A29"/>
      <c r="B29" s="300" t="s">
        <v>81</v>
      </c>
      <c r="C29" s="133" t="s">
        <v>225</v>
      </c>
      <c r="D29" s="146" t="s">
        <v>286</v>
      </c>
      <c r="E29" s="190">
        <v>1</v>
      </c>
      <c r="F29" s="251" t="s">
        <v>15</v>
      </c>
      <c r="G29" s="252">
        <v>1</v>
      </c>
      <c r="H29" s="252">
        <v>30</v>
      </c>
      <c r="I29" s="252">
        <v>30</v>
      </c>
      <c r="J29" s="253">
        <f t="shared" ref="J29:J39" si="13">+(((1750905*9.77)/30)*I29)*E29</f>
        <v>17106341.849999998</v>
      </c>
      <c r="K29" s="253">
        <f t="shared" ref="K29:K39" si="14">1800*3/30*I29</f>
        <v>5400</v>
      </c>
      <c r="L29" s="155">
        <v>0.08</v>
      </c>
      <c r="M29" s="210">
        <f t="shared" ref="M29:M39" si="15">(J29+K29)*L29</f>
        <v>1368939.3479999998</v>
      </c>
      <c r="N29" s="148">
        <f t="shared" si="5"/>
        <v>18480681.197999999</v>
      </c>
      <c r="O29" s="156">
        <f>N29*10%</f>
        <v>1848068.1198</v>
      </c>
      <c r="P29" s="156">
        <f t="shared" ref="P29:P66" si="16">+O29*19%</f>
        <v>351132.94276200002</v>
      </c>
      <c r="Q29" s="148">
        <f t="shared" ref="Q29:Q66" si="17">N29+P29</f>
        <v>18831814.140761998</v>
      </c>
      <c r="R29" s="205"/>
      <c r="S29" s="157"/>
      <c r="T29" s="150">
        <f t="shared" ref="T29:T92" si="18">Q29-S29</f>
        <v>18831814.140761998</v>
      </c>
      <c r="U29" s="151"/>
      <c r="V29" s="134"/>
      <c r="W29" s="134"/>
      <c r="X29" s="134"/>
    </row>
    <row r="30" spans="1:24" s="135" customFormat="1" ht="26.25" x14ac:dyDescent="0.25">
      <c r="A30"/>
      <c r="B30" s="295"/>
      <c r="C30" s="133" t="s">
        <v>225</v>
      </c>
      <c r="D30" s="146" t="s">
        <v>287</v>
      </c>
      <c r="E30" s="190">
        <v>1</v>
      </c>
      <c r="F30" s="251" t="s">
        <v>15</v>
      </c>
      <c r="G30" s="252">
        <v>1</v>
      </c>
      <c r="H30" s="252">
        <v>30</v>
      </c>
      <c r="I30" s="252">
        <v>30</v>
      </c>
      <c r="J30" s="253">
        <f t="shared" si="13"/>
        <v>17106341.849999998</v>
      </c>
      <c r="K30" s="253">
        <f t="shared" si="14"/>
        <v>5400</v>
      </c>
      <c r="L30" s="155">
        <v>0.08</v>
      </c>
      <c r="M30" s="210">
        <f t="shared" si="15"/>
        <v>1368939.3479999998</v>
      </c>
      <c r="N30" s="148">
        <f t="shared" si="5"/>
        <v>18480681.197999999</v>
      </c>
      <c r="O30" s="156">
        <f t="shared" ref="O30:O66" si="19">N30*10%</f>
        <v>1848068.1198</v>
      </c>
      <c r="P30" s="156">
        <f t="shared" si="16"/>
        <v>351132.94276200002</v>
      </c>
      <c r="Q30" s="148">
        <f t="shared" si="17"/>
        <v>18831814.140761998</v>
      </c>
      <c r="R30" s="205"/>
      <c r="S30" s="157"/>
      <c r="T30" s="150">
        <f t="shared" si="18"/>
        <v>18831814.140761998</v>
      </c>
      <c r="U30" s="151"/>
      <c r="V30" s="134"/>
      <c r="W30" s="134"/>
      <c r="X30" s="134"/>
    </row>
    <row r="31" spans="1:24" s="135" customFormat="1" ht="26.25" x14ac:dyDescent="0.25">
      <c r="A31"/>
      <c r="B31" s="295"/>
      <c r="C31" s="133" t="s">
        <v>225</v>
      </c>
      <c r="D31" s="146" t="s">
        <v>288</v>
      </c>
      <c r="E31" s="190">
        <v>1</v>
      </c>
      <c r="F31" s="251" t="s">
        <v>15</v>
      </c>
      <c r="G31" s="252">
        <v>1</v>
      </c>
      <c r="H31" s="252">
        <v>30</v>
      </c>
      <c r="I31" s="252">
        <v>30</v>
      </c>
      <c r="J31" s="253">
        <f t="shared" si="13"/>
        <v>17106341.849999998</v>
      </c>
      <c r="K31" s="253">
        <f t="shared" si="14"/>
        <v>5400</v>
      </c>
      <c r="L31" s="155">
        <v>0.08</v>
      </c>
      <c r="M31" s="210">
        <f t="shared" si="15"/>
        <v>1368939.3479999998</v>
      </c>
      <c r="N31" s="148">
        <f t="shared" si="5"/>
        <v>18480681.197999999</v>
      </c>
      <c r="O31" s="156">
        <f t="shared" si="19"/>
        <v>1848068.1198</v>
      </c>
      <c r="P31" s="156">
        <f t="shared" si="16"/>
        <v>351132.94276200002</v>
      </c>
      <c r="Q31" s="148">
        <f t="shared" si="17"/>
        <v>18831814.140761998</v>
      </c>
      <c r="R31" s="205"/>
      <c r="S31" s="157"/>
      <c r="T31" s="150">
        <f t="shared" si="18"/>
        <v>18831814.140761998</v>
      </c>
      <c r="U31" s="151"/>
      <c r="V31" s="134"/>
      <c r="W31" s="134"/>
      <c r="X31" s="134"/>
    </row>
    <row r="32" spans="1:24" s="135" customFormat="1" ht="26.25" x14ac:dyDescent="0.25">
      <c r="A32"/>
      <c r="B32" s="295"/>
      <c r="C32" s="133" t="s">
        <v>225</v>
      </c>
      <c r="D32" s="146" t="s">
        <v>289</v>
      </c>
      <c r="E32" s="190">
        <v>1</v>
      </c>
      <c r="F32" s="251" t="s">
        <v>15</v>
      </c>
      <c r="G32" s="252">
        <v>1</v>
      </c>
      <c r="H32" s="252">
        <v>30</v>
      </c>
      <c r="I32" s="252">
        <v>30</v>
      </c>
      <c r="J32" s="253">
        <f t="shared" si="13"/>
        <v>17106341.849999998</v>
      </c>
      <c r="K32" s="253">
        <f t="shared" si="14"/>
        <v>5400</v>
      </c>
      <c r="L32" s="155">
        <v>0.08</v>
      </c>
      <c r="M32" s="210">
        <f t="shared" si="15"/>
        <v>1368939.3479999998</v>
      </c>
      <c r="N32" s="148">
        <f t="shared" si="5"/>
        <v>18480681.197999999</v>
      </c>
      <c r="O32" s="156">
        <f t="shared" si="19"/>
        <v>1848068.1198</v>
      </c>
      <c r="P32" s="156">
        <f t="shared" si="16"/>
        <v>351132.94276200002</v>
      </c>
      <c r="Q32" s="148">
        <f t="shared" si="17"/>
        <v>18831814.140761998</v>
      </c>
      <c r="R32" s="205"/>
      <c r="S32" s="157"/>
      <c r="T32" s="150">
        <f t="shared" si="18"/>
        <v>18831814.140761998</v>
      </c>
      <c r="U32" s="151"/>
      <c r="V32" s="134"/>
      <c r="W32" s="134"/>
      <c r="X32" s="134"/>
    </row>
    <row r="33" spans="1:30" s="135" customFormat="1" ht="26.25" x14ac:dyDescent="0.25">
      <c r="A33"/>
      <c r="B33" s="295"/>
      <c r="C33" s="133" t="s">
        <v>225</v>
      </c>
      <c r="D33" s="146" t="s">
        <v>290</v>
      </c>
      <c r="E33" s="190">
        <v>1</v>
      </c>
      <c r="F33" s="251" t="s">
        <v>15</v>
      </c>
      <c r="G33" s="252">
        <v>1</v>
      </c>
      <c r="H33" s="252">
        <v>30</v>
      </c>
      <c r="I33" s="252">
        <v>30</v>
      </c>
      <c r="J33" s="253">
        <f t="shared" si="13"/>
        <v>17106341.849999998</v>
      </c>
      <c r="K33" s="253">
        <f t="shared" si="14"/>
        <v>5400</v>
      </c>
      <c r="L33" s="155">
        <v>0.08</v>
      </c>
      <c r="M33" s="210">
        <f t="shared" si="15"/>
        <v>1368939.3479999998</v>
      </c>
      <c r="N33" s="148">
        <f t="shared" si="5"/>
        <v>18480681.197999999</v>
      </c>
      <c r="O33" s="156">
        <f t="shared" si="19"/>
        <v>1848068.1198</v>
      </c>
      <c r="P33" s="156">
        <f t="shared" si="16"/>
        <v>351132.94276200002</v>
      </c>
      <c r="Q33" s="148">
        <f t="shared" si="17"/>
        <v>18831814.140761998</v>
      </c>
      <c r="R33" s="205"/>
      <c r="S33" s="157"/>
      <c r="T33" s="150">
        <f t="shared" si="18"/>
        <v>18831814.140761998</v>
      </c>
      <c r="U33" s="151"/>
      <c r="V33" s="134"/>
      <c r="W33" s="134"/>
      <c r="X33" s="134"/>
    </row>
    <row r="34" spans="1:30" s="135" customFormat="1" ht="26.25" x14ac:dyDescent="0.25">
      <c r="A34"/>
      <c r="B34" s="295"/>
      <c r="C34" s="133" t="s">
        <v>225</v>
      </c>
      <c r="D34" s="146" t="s">
        <v>291</v>
      </c>
      <c r="E34" s="190">
        <v>1</v>
      </c>
      <c r="F34" s="251" t="s">
        <v>15</v>
      </c>
      <c r="G34" s="252">
        <v>1</v>
      </c>
      <c r="H34" s="252">
        <v>30</v>
      </c>
      <c r="I34" s="252">
        <v>30</v>
      </c>
      <c r="J34" s="253">
        <f t="shared" si="13"/>
        <v>17106341.849999998</v>
      </c>
      <c r="K34" s="253">
        <f t="shared" si="14"/>
        <v>5400</v>
      </c>
      <c r="L34" s="155">
        <v>0.08</v>
      </c>
      <c r="M34" s="210">
        <f t="shared" si="15"/>
        <v>1368939.3479999998</v>
      </c>
      <c r="N34" s="148">
        <f t="shared" si="5"/>
        <v>18480681.197999999</v>
      </c>
      <c r="O34" s="156">
        <f t="shared" si="19"/>
        <v>1848068.1198</v>
      </c>
      <c r="P34" s="156">
        <f t="shared" si="16"/>
        <v>351132.94276200002</v>
      </c>
      <c r="Q34" s="148">
        <f t="shared" si="17"/>
        <v>18831814.140761998</v>
      </c>
      <c r="R34" s="205"/>
      <c r="S34" s="157"/>
      <c r="T34" s="150">
        <f t="shared" si="18"/>
        <v>18831814.140761998</v>
      </c>
      <c r="U34" s="151"/>
      <c r="V34" s="134"/>
      <c r="W34" s="134"/>
      <c r="X34" s="134"/>
    </row>
    <row r="35" spans="1:30" s="135" customFormat="1" ht="26.25" x14ac:dyDescent="0.25">
      <c r="A35"/>
      <c r="B35" s="295"/>
      <c r="C35" s="133" t="s">
        <v>225</v>
      </c>
      <c r="D35" s="146" t="s">
        <v>292</v>
      </c>
      <c r="E35" s="190">
        <v>1</v>
      </c>
      <c r="F35" s="251" t="s">
        <v>15</v>
      </c>
      <c r="G35" s="252">
        <v>1</v>
      </c>
      <c r="H35" s="252">
        <v>30</v>
      </c>
      <c r="I35" s="252">
        <v>30</v>
      </c>
      <c r="J35" s="253">
        <f t="shared" si="13"/>
        <v>17106341.849999998</v>
      </c>
      <c r="K35" s="253">
        <f t="shared" si="14"/>
        <v>5400</v>
      </c>
      <c r="L35" s="155">
        <v>0.08</v>
      </c>
      <c r="M35" s="210">
        <f t="shared" si="15"/>
        <v>1368939.3479999998</v>
      </c>
      <c r="N35" s="148">
        <f t="shared" si="5"/>
        <v>18480681.197999999</v>
      </c>
      <c r="O35" s="156">
        <f t="shared" si="19"/>
        <v>1848068.1198</v>
      </c>
      <c r="P35" s="156">
        <f t="shared" si="16"/>
        <v>351132.94276200002</v>
      </c>
      <c r="Q35" s="148">
        <f t="shared" si="17"/>
        <v>18831814.140761998</v>
      </c>
      <c r="R35" s="205"/>
      <c r="S35" s="157"/>
      <c r="T35" s="150">
        <f t="shared" si="18"/>
        <v>18831814.140761998</v>
      </c>
      <c r="U35" s="151"/>
      <c r="V35" s="134"/>
      <c r="W35" s="134"/>
      <c r="X35" s="134"/>
    </row>
    <row r="36" spans="1:30" s="135" customFormat="1" ht="26.25" x14ac:dyDescent="0.25">
      <c r="A36"/>
      <c r="B36" s="295"/>
      <c r="C36" s="133" t="s">
        <v>225</v>
      </c>
      <c r="D36" s="146" t="s">
        <v>293</v>
      </c>
      <c r="E36" s="190">
        <v>1</v>
      </c>
      <c r="F36" s="251" t="s">
        <v>15</v>
      </c>
      <c r="G36" s="252">
        <v>1</v>
      </c>
      <c r="H36" s="252">
        <v>30</v>
      </c>
      <c r="I36" s="252">
        <v>30</v>
      </c>
      <c r="J36" s="253">
        <f t="shared" si="13"/>
        <v>17106341.849999998</v>
      </c>
      <c r="K36" s="253">
        <f t="shared" si="14"/>
        <v>5400</v>
      </c>
      <c r="L36" s="155">
        <v>0.08</v>
      </c>
      <c r="M36" s="210">
        <f t="shared" si="15"/>
        <v>1368939.3479999998</v>
      </c>
      <c r="N36" s="148">
        <f t="shared" si="5"/>
        <v>18480681.197999999</v>
      </c>
      <c r="O36" s="156">
        <f t="shared" si="19"/>
        <v>1848068.1198</v>
      </c>
      <c r="P36" s="156">
        <f t="shared" si="16"/>
        <v>351132.94276200002</v>
      </c>
      <c r="Q36" s="148">
        <f t="shared" si="17"/>
        <v>18831814.140761998</v>
      </c>
      <c r="R36" s="205"/>
      <c r="S36" s="157"/>
      <c r="T36" s="150">
        <f t="shared" si="18"/>
        <v>18831814.140761998</v>
      </c>
      <c r="U36" s="151"/>
      <c r="V36" s="134"/>
      <c r="W36" s="134"/>
      <c r="X36" s="134"/>
    </row>
    <row r="37" spans="1:30" s="135" customFormat="1" ht="26.25" x14ac:dyDescent="0.25">
      <c r="A37"/>
      <c r="B37" s="295"/>
      <c r="C37" s="133" t="s">
        <v>225</v>
      </c>
      <c r="D37" s="146" t="s">
        <v>294</v>
      </c>
      <c r="E37" s="190">
        <v>1</v>
      </c>
      <c r="F37" s="251" t="s">
        <v>15</v>
      </c>
      <c r="G37" s="252">
        <v>1</v>
      </c>
      <c r="H37" s="252">
        <v>30</v>
      </c>
      <c r="I37" s="252">
        <v>30</v>
      </c>
      <c r="J37" s="253">
        <f t="shared" si="13"/>
        <v>17106341.849999998</v>
      </c>
      <c r="K37" s="253">
        <f t="shared" si="14"/>
        <v>5400</v>
      </c>
      <c r="L37" s="155">
        <v>0.08</v>
      </c>
      <c r="M37" s="210">
        <f t="shared" si="15"/>
        <v>1368939.3479999998</v>
      </c>
      <c r="N37" s="148">
        <f t="shared" si="5"/>
        <v>18480681.197999999</v>
      </c>
      <c r="O37" s="156">
        <f t="shared" si="19"/>
        <v>1848068.1198</v>
      </c>
      <c r="P37" s="156">
        <f t="shared" si="16"/>
        <v>351132.94276200002</v>
      </c>
      <c r="Q37" s="148">
        <f t="shared" si="17"/>
        <v>18831814.140761998</v>
      </c>
      <c r="R37" s="205"/>
      <c r="S37" s="157"/>
      <c r="T37" s="150">
        <f t="shared" si="18"/>
        <v>18831814.140761998</v>
      </c>
      <c r="U37" s="151"/>
      <c r="V37" s="134"/>
      <c r="W37" s="134"/>
      <c r="X37" s="134"/>
    </row>
    <row r="38" spans="1:30" s="135" customFormat="1" ht="19.5" customHeight="1" x14ac:dyDescent="0.25">
      <c r="A38"/>
      <c r="B38" s="295"/>
      <c r="C38" s="133" t="s">
        <v>225</v>
      </c>
      <c r="D38" s="230" t="s">
        <v>295</v>
      </c>
      <c r="E38" s="190">
        <v>1</v>
      </c>
      <c r="F38" s="251" t="s">
        <v>15</v>
      </c>
      <c r="G38" s="252">
        <v>1</v>
      </c>
      <c r="H38" s="252">
        <v>30</v>
      </c>
      <c r="I38" s="252">
        <v>30</v>
      </c>
      <c r="J38" s="253">
        <f t="shared" si="13"/>
        <v>17106341.849999998</v>
      </c>
      <c r="K38" s="253">
        <f t="shared" si="14"/>
        <v>5400</v>
      </c>
      <c r="L38" s="155">
        <v>0.08</v>
      </c>
      <c r="M38" s="210">
        <f t="shared" si="15"/>
        <v>1368939.3479999998</v>
      </c>
      <c r="N38" s="148">
        <f t="shared" si="5"/>
        <v>18480681.197999999</v>
      </c>
      <c r="O38" s="156">
        <f t="shared" si="19"/>
        <v>1848068.1198</v>
      </c>
      <c r="P38" s="156">
        <f t="shared" si="16"/>
        <v>351132.94276200002</v>
      </c>
      <c r="Q38" s="148">
        <f t="shared" si="17"/>
        <v>18831814.140761998</v>
      </c>
      <c r="R38" s="205"/>
      <c r="S38" s="157"/>
      <c r="T38" s="150">
        <f t="shared" si="18"/>
        <v>18831814.140761998</v>
      </c>
      <c r="U38" s="151"/>
      <c r="V38" s="134"/>
      <c r="W38" s="134"/>
      <c r="X38" s="134"/>
    </row>
    <row r="39" spans="1:30" s="138" customFormat="1" ht="24.75" customHeight="1" x14ac:dyDescent="0.25">
      <c r="B39" s="295"/>
      <c r="C39" s="139" t="s">
        <v>225</v>
      </c>
      <c r="D39" s="231" t="s">
        <v>323</v>
      </c>
      <c r="E39" s="232">
        <v>1</v>
      </c>
      <c r="F39" s="255" t="s">
        <v>15</v>
      </c>
      <c r="G39" s="256">
        <v>1</v>
      </c>
      <c r="H39" s="256">
        <v>16</v>
      </c>
      <c r="I39" s="256">
        <v>16</v>
      </c>
      <c r="J39" s="289">
        <f t="shared" si="13"/>
        <v>9123382.3199999984</v>
      </c>
      <c r="K39" s="289">
        <f t="shared" si="14"/>
        <v>2880</v>
      </c>
      <c r="L39" s="223">
        <v>0.08</v>
      </c>
      <c r="M39" s="210">
        <f t="shared" si="15"/>
        <v>730100.9855999999</v>
      </c>
      <c r="N39" s="148">
        <f t="shared" si="5"/>
        <v>9856363.3055999987</v>
      </c>
      <c r="O39" s="224">
        <f t="shared" si="19"/>
        <v>985636.33055999991</v>
      </c>
      <c r="P39" s="224">
        <f t="shared" si="16"/>
        <v>187270.90280639997</v>
      </c>
      <c r="Q39" s="224">
        <f t="shared" si="17"/>
        <v>10043634.208406398</v>
      </c>
      <c r="R39" s="225"/>
      <c r="S39" s="226"/>
      <c r="T39" s="227">
        <f t="shared" si="18"/>
        <v>10043634.208406398</v>
      </c>
      <c r="U39" s="164"/>
      <c r="V39" s="140"/>
      <c r="W39" s="140"/>
      <c r="X39" s="140"/>
    </row>
    <row r="40" spans="1:30" s="135" customFormat="1" ht="21" customHeight="1" x14ac:dyDescent="0.25">
      <c r="A40"/>
      <c r="B40" s="295"/>
      <c r="C40" s="133" t="s">
        <v>225</v>
      </c>
      <c r="D40" s="145" t="s">
        <v>296</v>
      </c>
      <c r="E40" s="190">
        <v>1</v>
      </c>
      <c r="F40" s="251" t="s">
        <v>16</v>
      </c>
      <c r="G40" s="252">
        <v>1</v>
      </c>
      <c r="H40" s="252">
        <v>30</v>
      </c>
      <c r="I40" s="252">
        <v>30</v>
      </c>
      <c r="J40" s="253">
        <f>+(((((1750905*9.77)*47.59%)/13*12)/30)*I40)*E40</f>
        <v>7514684.387459999</v>
      </c>
      <c r="K40" s="253">
        <f>1800*2/30*I40</f>
        <v>3600</v>
      </c>
      <c r="L40" s="155">
        <v>0.08</v>
      </c>
      <c r="M40" s="210">
        <f>(J40+K40)*L40</f>
        <v>601462.75099679991</v>
      </c>
      <c r="N40" s="148">
        <f t="shared" si="5"/>
        <v>8119747.1384567991</v>
      </c>
      <c r="O40" s="156">
        <f t="shared" si="19"/>
        <v>811974.71384568</v>
      </c>
      <c r="P40" s="156">
        <f t="shared" si="16"/>
        <v>154275.1956306792</v>
      </c>
      <c r="Q40" s="148">
        <f t="shared" si="17"/>
        <v>8274022.334087478</v>
      </c>
      <c r="R40" s="205"/>
      <c r="S40" s="157"/>
      <c r="T40" s="150">
        <f t="shared" si="18"/>
        <v>8274022.334087478</v>
      </c>
      <c r="U40" s="151"/>
      <c r="V40" s="134"/>
      <c r="W40" s="134"/>
      <c r="X40" s="134"/>
    </row>
    <row r="41" spans="1:30" s="135" customFormat="1" ht="26.25" x14ac:dyDescent="0.25">
      <c r="A41"/>
      <c r="B41" s="294"/>
      <c r="C41" s="133" t="s">
        <v>225</v>
      </c>
      <c r="D41" s="146" t="s">
        <v>297</v>
      </c>
      <c r="E41" s="190">
        <v>1</v>
      </c>
      <c r="F41" s="251" t="s">
        <v>17</v>
      </c>
      <c r="G41" s="252">
        <v>1</v>
      </c>
      <c r="H41" s="252">
        <v>30</v>
      </c>
      <c r="I41" s="252">
        <v>24</v>
      </c>
      <c r="J41" s="253">
        <f t="shared" ref="J41:J42" si="20">+(((((1750905*9.77)*47.59%)/13*12)/30)*I41)*E41</f>
        <v>6011747.5099679995</v>
      </c>
      <c r="K41" s="253">
        <f t="shared" ref="K41:K42" si="21">1800*2</f>
        <v>3600</v>
      </c>
      <c r="L41" s="147">
        <v>0.08</v>
      </c>
      <c r="M41" s="210">
        <f t="shared" ref="M41:M42" si="22">(J41+K41)*L41</f>
        <v>481227.80079744</v>
      </c>
      <c r="N41" s="148">
        <f t="shared" si="5"/>
        <v>6496575.3107654396</v>
      </c>
      <c r="O41" s="148">
        <f t="shared" si="19"/>
        <v>649657.53107654396</v>
      </c>
      <c r="P41" s="148">
        <f t="shared" si="16"/>
        <v>123434.93090454335</v>
      </c>
      <c r="Q41" s="148">
        <f t="shared" si="17"/>
        <v>6620010.2416699827</v>
      </c>
      <c r="R41" s="205"/>
      <c r="S41" s="157"/>
      <c r="T41" s="150">
        <f t="shared" si="18"/>
        <v>6620010.2416699827</v>
      </c>
      <c r="U41" s="151"/>
      <c r="V41" s="134"/>
      <c r="W41" s="134"/>
      <c r="X41" s="134"/>
    </row>
    <row r="42" spans="1:30" s="135" customFormat="1" ht="26.25" x14ac:dyDescent="0.25">
      <c r="A42"/>
      <c r="B42" s="294"/>
      <c r="C42" s="133" t="s">
        <v>225</v>
      </c>
      <c r="D42" s="146" t="s">
        <v>298</v>
      </c>
      <c r="E42" s="190">
        <v>1</v>
      </c>
      <c r="F42" s="251" t="s">
        <v>17</v>
      </c>
      <c r="G42" s="252">
        <v>1</v>
      </c>
      <c r="H42" s="252">
        <v>30</v>
      </c>
      <c r="I42" s="252">
        <v>24</v>
      </c>
      <c r="J42" s="253">
        <f t="shared" si="20"/>
        <v>6011747.5099679995</v>
      </c>
      <c r="K42" s="253">
        <f t="shared" si="21"/>
        <v>3600</v>
      </c>
      <c r="L42" s="147">
        <v>0.08</v>
      </c>
      <c r="M42" s="210">
        <f t="shared" si="22"/>
        <v>481227.80079744</v>
      </c>
      <c r="N42" s="148">
        <f t="shared" si="5"/>
        <v>6496575.3107654396</v>
      </c>
      <c r="O42" s="148">
        <f t="shared" si="19"/>
        <v>649657.53107654396</v>
      </c>
      <c r="P42" s="148">
        <f t="shared" si="16"/>
        <v>123434.93090454335</v>
      </c>
      <c r="Q42" s="148">
        <f t="shared" si="17"/>
        <v>6620010.2416699827</v>
      </c>
      <c r="R42" s="205"/>
      <c r="S42" s="157"/>
      <c r="T42" s="150">
        <f t="shared" si="18"/>
        <v>6620010.2416699827</v>
      </c>
      <c r="U42" s="151"/>
      <c r="V42" s="134"/>
      <c r="W42" s="134"/>
      <c r="X42" s="134"/>
    </row>
    <row r="43" spans="1:30" s="287" customFormat="1" ht="24" customHeight="1" x14ac:dyDescent="0.25">
      <c r="A43" s="281"/>
      <c r="B43" s="295"/>
      <c r="C43" s="282" t="s">
        <v>225</v>
      </c>
      <c r="D43" s="301" t="s">
        <v>262</v>
      </c>
      <c r="E43" s="252">
        <v>1</v>
      </c>
      <c r="F43" s="251" t="s">
        <v>15</v>
      </c>
      <c r="G43" s="252">
        <v>1</v>
      </c>
      <c r="H43" s="252">
        <v>30</v>
      </c>
      <c r="I43" s="252">
        <v>30</v>
      </c>
      <c r="J43" s="253">
        <f>+(((1750905*9.77)/30)*I43)*E43</f>
        <v>17106341.849999998</v>
      </c>
      <c r="K43" s="253">
        <f>1800*3/30*I43</f>
        <v>5400</v>
      </c>
      <c r="L43" s="155">
        <v>0.08</v>
      </c>
      <c r="M43" s="210">
        <f t="shared" ref="M43:M48" si="23">(J43+K43)*L43</f>
        <v>1368939.3479999998</v>
      </c>
      <c r="N43" s="148">
        <f t="shared" si="5"/>
        <v>18480681.197999999</v>
      </c>
      <c r="O43" s="156">
        <f t="shared" si="19"/>
        <v>1848068.1198</v>
      </c>
      <c r="P43" s="156">
        <f t="shared" si="16"/>
        <v>351132.94276200002</v>
      </c>
      <c r="Q43" s="148">
        <f t="shared" si="17"/>
        <v>18831814.140761998</v>
      </c>
      <c r="R43" s="283"/>
      <c r="S43" s="226"/>
      <c r="T43" s="284">
        <f t="shared" si="18"/>
        <v>18831814.140761998</v>
      </c>
      <c r="U43" s="285"/>
      <c r="V43" s="286"/>
      <c r="W43" s="286"/>
      <c r="X43" s="286"/>
    </row>
    <row r="44" spans="1:30" s="287" customFormat="1" x14ac:dyDescent="0.25">
      <c r="A44" s="281"/>
      <c r="B44" s="295"/>
      <c r="C44" s="282" t="s">
        <v>225</v>
      </c>
      <c r="D44" s="301"/>
      <c r="E44" s="252">
        <v>1</v>
      </c>
      <c r="F44" s="251" t="s">
        <v>16</v>
      </c>
      <c r="G44" s="252">
        <v>1</v>
      </c>
      <c r="H44" s="252">
        <v>30</v>
      </c>
      <c r="I44" s="252">
        <v>30</v>
      </c>
      <c r="J44" s="253">
        <f>+(((((1750905*9.77)*47.59%)/13*12)/30)*I44)*E44</f>
        <v>7514684.387459999</v>
      </c>
      <c r="K44" s="253">
        <f>1800*2/30*I44</f>
        <v>3600</v>
      </c>
      <c r="L44" s="155">
        <v>0.08</v>
      </c>
      <c r="M44" s="210">
        <f t="shared" si="23"/>
        <v>601462.75099679991</v>
      </c>
      <c r="N44" s="148">
        <f t="shared" si="5"/>
        <v>8119747.1384567991</v>
      </c>
      <c r="O44" s="156">
        <f t="shared" si="19"/>
        <v>811974.71384568</v>
      </c>
      <c r="P44" s="156">
        <f t="shared" si="16"/>
        <v>154275.1956306792</v>
      </c>
      <c r="Q44" s="148">
        <f t="shared" si="17"/>
        <v>8274022.334087478</v>
      </c>
      <c r="R44" s="288"/>
      <c r="S44" s="157"/>
      <c r="T44" s="284">
        <f t="shared" si="18"/>
        <v>8274022.334087478</v>
      </c>
      <c r="U44" s="285"/>
      <c r="V44" s="286"/>
      <c r="W44" s="286"/>
      <c r="X44" s="286"/>
    </row>
    <row r="45" spans="1:30" s="220" customFormat="1" x14ac:dyDescent="0.25">
      <c r="A45" s="218"/>
      <c r="B45" s="295"/>
      <c r="C45" s="219" t="s">
        <v>225</v>
      </c>
      <c r="D45" s="292" t="s">
        <v>263</v>
      </c>
      <c r="E45" s="190">
        <v>1</v>
      </c>
      <c r="F45" s="251" t="s">
        <v>15</v>
      </c>
      <c r="G45" s="252">
        <v>1</v>
      </c>
      <c r="H45" s="252">
        <v>30</v>
      </c>
      <c r="I45" s="252">
        <v>30</v>
      </c>
      <c r="J45" s="253">
        <f>+(((1750905*9.77)/30)*I45)*E45</f>
        <v>17106341.849999998</v>
      </c>
      <c r="K45" s="253">
        <f>1800*3/30*I45</f>
        <v>5400</v>
      </c>
      <c r="L45" s="155">
        <v>0.08</v>
      </c>
      <c r="M45" s="210">
        <f t="shared" si="23"/>
        <v>1368939.3479999998</v>
      </c>
      <c r="N45" s="148">
        <f t="shared" si="5"/>
        <v>18480681.197999999</v>
      </c>
      <c r="O45" s="156">
        <f t="shared" si="19"/>
        <v>1848068.1198</v>
      </c>
      <c r="P45" s="156">
        <f t="shared" si="16"/>
        <v>351132.94276200002</v>
      </c>
      <c r="Q45" s="148">
        <f t="shared" si="17"/>
        <v>18831814.140761998</v>
      </c>
      <c r="R45" s="205"/>
      <c r="S45" s="157"/>
      <c r="T45" s="150">
        <f t="shared" si="18"/>
        <v>18831814.140761998</v>
      </c>
      <c r="U45" s="151"/>
      <c r="V45" s="134"/>
      <c r="W45" s="134"/>
      <c r="X45" s="134"/>
      <c r="Y45" s="135"/>
      <c r="Z45" s="135"/>
      <c r="AA45" s="135"/>
      <c r="AB45" s="135"/>
      <c r="AC45" s="135"/>
      <c r="AD45" s="135"/>
    </row>
    <row r="46" spans="1:30" s="220" customFormat="1" x14ac:dyDescent="0.25">
      <c r="A46" s="218"/>
      <c r="B46" s="295"/>
      <c r="C46" s="219" t="s">
        <v>225</v>
      </c>
      <c r="D46" s="292"/>
      <c r="E46" s="190">
        <v>1</v>
      </c>
      <c r="F46" s="251" t="s">
        <v>16</v>
      </c>
      <c r="G46" s="252">
        <v>1</v>
      </c>
      <c r="H46" s="252">
        <v>30</v>
      </c>
      <c r="I46" s="252">
        <v>30</v>
      </c>
      <c r="J46" s="253">
        <f>+(((((1750905*9.77)*47.59%)/13*12)/30)*I46)*E46</f>
        <v>7514684.387459999</v>
      </c>
      <c r="K46" s="253">
        <f>1800*2/30*I46</f>
        <v>3600</v>
      </c>
      <c r="L46" s="155">
        <v>0.08</v>
      </c>
      <c r="M46" s="210">
        <f t="shared" si="23"/>
        <v>601462.75099679991</v>
      </c>
      <c r="N46" s="148">
        <f t="shared" si="5"/>
        <v>8119747.1384567991</v>
      </c>
      <c r="O46" s="156">
        <f t="shared" si="19"/>
        <v>811974.71384568</v>
      </c>
      <c r="P46" s="156">
        <f t="shared" si="16"/>
        <v>154275.1956306792</v>
      </c>
      <c r="Q46" s="148">
        <f t="shared" si="17"/>
        <v>8274022.334087478</v>
      </c>
      <c r="R46" s="205">
        <v>3</v>
      </c>
      <c r="S46" s="157">
        <f>8274022/30*R46</f>
        <v>827402.2</v>
      </c>
      <c r="T46" s="150">
        <f t="shared" si="18"/>
        <v>7446620.1340874778</v>
      </c>
      <c r="U46" s="151"/>
      <c r="V46" s="134"/>
      <c r="W46" s="134"/>
      <c r="X46" s="134"/>
      <c r="Y46" s="135"/>
      <c r="Z46" s="135"/>
      <c r="AA46" s="135"/>
      <c r="AB46" s="135"/>
      <c r="AC46" s="135"/>
      <c r="AD46" s="135"/>
    </row>
    <row r="47" spans="1:30" s="220" customFormat="1" x14ac:dyDescent="0.25">
      <c r="A47" s="218"/>
      <c r="B47" s="295"/>
      <c r="C47" s="219" t="s">
        <v>225</v>
      </c>
      <c r="D47" s="292" t="s">
        <v>264</v>
      </c>
      <c r="E47" s="190">
        <v>1</v>
      </c>
      <c r="F47" s="251" t="s">
        <v>15</v>
      </c>
      <c r="G47" s="252">
        <v>1</v>
      </c>
      <c r="H47" s="252">
        <v>30</v>
      </c>
      <c r="I47" s="252">
        <v>30</v>
      </c>
      <c r="J47" s="253">
        <f>+(((1750905*9.77)/30)*I47)*E47</f>
        <v>17106341.849999998</v>
      </c>
      <c r="K47" s="253">
        <f>1800*3/30*I47</f>
        <v>5400</v>
      </c>
      <c r="L47" s="155">
        <v>0.08</v>
      </c>
      <c r="M47" s="210">
        <f t="shared" si="23"/>
        <v>1368939.3479999998</v>
      </c>
      <c r="N47" s="148">
        <f t="shared" si="5"/>
        <v>18480681.197999999</v>
      </c>
      <c r="O47" s="156">
        <f t="shared" si="19"/>
        <v>1848068.1198</v>
      </c>
      <c r="P47" s="156">
        <f t="shared" si="16"/>
        <v>351132.94276200002</v>
      </c>
      <c r="Q47" s="148">
        <f t="shared" si="17"/>
        <v>18831814.140761998</v>
      </c>
      <c r="R47" s="205"/>
      <c r="S47" s="157"/>
      <c r="T47" s="150">
        <f t="shared" si="18"/>
        <v>18831814.140761998</v>
      </c>
      <c r="U47" s="151"/>
      <c r="V47" s="134"/>
      <c r="W47" s="134"/>
      <c r="X47" s="134"/>
      <c r="Y47" s="135"/>
      <c r="Z47" s="135"/>
      <c r="AA47" s="135"/>
      <c r="AB47" s="135"/>
      <c r="AC47" s="135"/>
      <c r="AD47" s="135"/>
    </row>
    <row r="48" spans="1:30" s="220" customFormat="1" x14ac:dyDescent="0.25">
      <c r="A48" s="218"/>
      <c r="B48" s="295"/>
      <c r="C48" s="219" t="s">
        <v>225</v>
      </c>
      <c r="D48" s="292"/>
      <c r="E48" s="190">
        <v>1</v>
      </c>
      <c r="F48" s="251" t="s">
        <v>16</v>
      </c>
      <c r="G48" s="252">
        <v>1</v>
      </c>
      <c r="H48" s="252">
        <v>30</v>
      </c>
      <c r="I48" s="252">
        <v>30</v>
      </c>
      <c r="J48" s="253">
        <f>+(((((1750905*9.77)*47.59%)/13*12)/30)*I48)*E48</f>
        <v>7514684.387459999</v>
      </c>
      <c r="K48" s="253">
        <f>1800*2/30*I48</f>
        <v>3600</v>
      </c>
      <c r="L48" s="155">
        <v>0.08</v>
      </c>
      <c r="M48" s="210">
        <f t="shared" si="23"/>
        <v>601462.75099679991</v>
      </c>
      <c r="N48" s="148">
        <f t="shared" si="5"/>
        <v>8119747.1384567991</v>
      </c>
      <c r="O48" s="156">
        <f t="shared" si="19"/>
        <v>811974.71384568</v>
      </c>
      <c r="P48" s="156">
        <f t="shared" si="16"/>
        <v>154275.1956306792</v>
      </c>
      <c r="Q48" s="148">
        <f t="shared" si="17"/>
        <v>8274022.334087478</v>
      </c>
      <c r="R48" s="205">
        <v>3</v>
      </c>
      <c r="S48" s="157">
        <f>8274022/30*R48</f>
        <v>827402.2</v>
      </c>
      <c r="T48" s="150">
        <f t="shared" si="18"/>
        <v>7446620.1340874778</v>
      </c>
      <c r="U48" s="151"/>
      <c r="V48" s="134"/>
      <c r="W48" s="134"/>
      <c r="X48" s="134"/>
      <c r="Y48" s="135"/>
      <c r="Z48" s="135"/>
      <c r="AA48" s="135"/>
      <c r="AB48" s="135"/>
      <c r="AC48" s="135"/>
      <c r="AD48" s="135"/>
    </row>
    <row r="49" spans="1:30" s="220" customFormat="1" x14ac:dyDescent="0.25">
      <c r="A49" s="218"/>
      <c r="B49" s="295"/>
      <c r="C49" s="219" t="s">
        <v>225</v>
      </c>
      <c r="D49" s="158" t="s">
        <v>265</v>
      </c>
      <c r="E49" s="190">
        <v>1</v>
      </c>
      <c r="F49" s="251" t="s">
        <v>15</v>
      </c>
      <c r="G49" s="252">
        <v>1</v>
      </c>
      <c r="H49" s="252">
        <v>30</v>
      </c>
      <c r="I49" s="252">
        <v>30</v>
      </c>
      <c r="J49" s="253">
        <f t="shared" ref="J49:J54" si="24">+(((1750905*9.77)/30)*I49)*E49</f>
        <v>17106341.849999998</v>
      </c>
      <c r="K49" s="253">
        <f t="shared" ref="K49:K54" si="25">1800*3/30*I49</f>
        <v>5400</v>
      </c>
      <c r="L49" s="155">
        <v>0.08</v>
      </c>
      <c r="M49" s="210">
        <f t="shared" ref="M49:M54" si="26">(J49+K49)*L49</f>
        <v>1368939.3479999998</v>
      </c>
      <c r="N49" s="148">
        <f t="shared" si="5"/>
        <v>18480681.197999999</v>
      </c>
      <c r="O49" s="156">
        <f t="shared" si="19"/>
        <v>1848068.1198</v>
      </c>
      <c r="P49" s="156">
        <f t="shared" si="16"/>
        <v>351132.94276200002</v>
      </c>
      <c r="Q49" s="148">
        <f t="shared" si="17"/>
        <v>18831814.140761998</v>
      </c>
      <c r="R49" s="205"/>
      <c r="S49" s="157"/>
      <c r="T49" s="150">
        <f t="shared" si="18"/>
        <v>18831814.140761998</v>
      </c>
      <c r="U49" s="151"/>
      <c r="V49" s="134"/>
      <c r="W49" s="134"/>
      <c r="X49" s="134"/>
      <c r="Y49" s="135"/>
      <c r="Z49" s="135"/>
      <c r="AA49" s="135"/>
      <c r="AB49" s="135"/>
      <c r="AC49" s="135"/>
      <c r="AD49" s="135"/>
    </row>
    <row r="50" spans="1:30" s="220" customFormat="1" x14ac:dyDescent="0.25">
      <c r="A50" s="218"/>
      <c r="B50" s="295"/>
      <c r="C50" s="219" t="s">
        <v>225</v>
      </c>
      <c r="D50" s="146" t="s">
        <v>266</v>
      </c>
      <c r="E50" s="190">
        <v>1</v>
      </c>
      <c r="F50" s="251" t="s">
        <v>15</v>
      </c>
      <c r="G50" s="252">
        <v>1</v>
      </c>
      <c r="H50" s="252">
        <v>30</v>
      </c>
      <c r="I50" s="252">
        <v>30</v>
      </c>
      <c r="J50" s="253">
        <f t="shared" si="24"/>
        <v>17106341.849999998</v>
      </c>
      <c r="K50" s="253">
        <f t="shared" si="25"/>
        <v>5400</v>
      </c>
      <c r="L50" s="155">
        <v>0.08</v>
      </c>
      <c r="M50" s="210">
        <f t="shared" si="26"/>
        <v>1368939.3479999998</v>
      </c>
      <c r="N50" s="148">
        <f t="shared" si="5"/>
        <v>18480681.197999999</v>
      </c>
      <c r="O50" s="156">
        <f t="shared" si="19"/>
        <v>1848068.1198</v>
      </c>
      <c r="P50" s="156">
        <f t="shared" si="16"/>
        <v>351132.94276200002</v>
      </c>
      <c r="Q50" s="148">
        <f t="shared" si="17"/>
        <v>18831814.140761998</v>
      </c>
      <c r="R50" s="205"/>
      <c r="S50" s="157"/>
      <c r="T50" s="150">
        <f t="shared" si="18"/>
        <v>18831814.140761998</v>
      </c>
      <c r="U50" s="151"/>
      <c r="V50" s="134"/>
      <c r="W50" s="134"/>
      <c r="X50" s="134"/>
      <c r="Y50" s="135"/>
      <c r="Z50" s="135"/>
      <c r="AA50" s="135"/>
      <c r="AB50" s="135"/>
      <c r="AC50" s="135"/>
      <c r="AD50" s="135"/>
    </row>
    <row r="51" spans="1:30" s="220" customFormat="1" ht="26.25" x14ac:dyDescent="0.25">
      <c r="A51" s="218"/>
      <c r="B51" s="295"/>
      <c r="C51" s="219" t="s">
        <v>225</v>
      </c>
      <c r="D51" s="146" t="s">
        <v>267</v>
      </c>
      <c r="E51" s="190">
        <v>1</v>
      </c>
      <c r="F51" s="251" t="s">
        <v>15</v>
      </c>
      <c r="G51" s="252">
        <v>1</v>
      </c>
      <c r="H51" s="252">
        <v>30</v>
      </c>
      <c r="I51" s="252">
        <v>30</v>
      </c>
      <c r="J51" s="253">
        <f t="shared" si="24"/>
        <v>17106341.849999998</v>
      </c>
      <c r="K51" s="253">
        <f t="shared" si="25"/>
        <v>5400</v>
      </c>
      <c r="L51" s="155">
        <v>0.08</v>
      </c>
      <c r="M51" s="210">
        <f t="shared" si="26"/>
        <v>1368939.3479999998</v>
      </c>
      <c r="N51" s="148">
        <f t="shared" si="5"/>
        <v>18480681.197999999</v>
      </c>
      <c r="O51" s="156">
        <f t="shared" si="19"/>
        <v>1848068.1198</v>
      </c>
      <c r="P51" s="156">
        <f t="shared" si="16"/>
        <v>351132.94276200002</v>
      </c>
      <c r="Q51" s="148">
        <f t="shared" si="17"/>
        <v>18831814.140761998</v>
      </c>
      <c r="R51" s="205">
        <v>3</v>
      </c>
      <c r="S51" s="157">
        <f>10559773/30*R51</f>
        <v>1055977.3</v>
      </c>
      <c r="T51" s="150">
        <f t="shared" si="18"/>
        <v>17775836.840761997</v>
      </c>
      <c r="U51" s="151"/>
      <c r="V51" s="134"/>
      <c r="W51" s="134"/>
      <c r="X51" s="134"/>
      <c r="Y51" s="135"/>
      <c r="Z51" s="135"/>
      <c r="AA51" s="135"/>
      <c r="AB51" s="135"/>
      <c r="AC51" s="135"/>
      <c r="AD51" s="135"/>
    </row>
    <row r="52" spans="1:30" s="220" customFormat="1" ht="26.25" x14ac:dyDescent="0.25">
      <c r="A52" s="218"/>
      <c r="B52" s="295"/>
      <c r="C52" s="219" t="s">
        <v>225</v>
      </c>
      <c r="D52" s="146" t="s">
        <v>303</v>
      </c>
      <c r="E52" s="190">
        <v>1</v>
      </c>
      <c r="F52" s="251" t="s">
        <v>15</v>
      </c>
      <c r="G52" s="252">
        <v>1</v>
      </c>
      <c r="H52" s="252">
        <v>30</v>
      </c>
      <c r="I52" s="252">
        <v>30</v>
      </c>
      <c r="J52" s="253">
        <f t="shared" si="24"/>
        <v>17106341.849999998</v>
      </c>
      <c r="K52" s="253">
        <f t="shared" si="25"/>
        <v>5400</v>
      </c>
      <c r="L52" s="155">
        <v>0.08</v>
      </c>
      <c r="M52" s="210">
        <f t="shared" si="26"/>
        <v>1368939.3479999998</v>
      </c>
      <c r="N52" s="148">
        <f t="shared" si="5"/>
        <v>18480681.197999999</v>
      </c>
      <c r="O52" s="156">
        <f t="shared" si="19"/>
        <v>1848068.1198</v>
      </c>
      <c r="P52" s="156">
        <f t="shared" si="16"/>
        <v>351132.94276200002</v>
      </c>
      <c r="Q52" s="148">
        <f t="shared" si="17"/>
        <v>18831814.140761998</v>
      </c>
      <c r="R52" s="205">
        <v>3</v>
      </c>
      <c r="S52" s="157">
        <f t="shared" ref="S52:S57" si="27">10559773/30*R52</f>
        <v>1055977.3</v>
      </c>
      <c r="T52" s="150">
        <f t="shared" si="18"/>
        <v>17775836.840761997</v>
      </c>
      <c r="U52" s="151"/>
      <c r="V52" s="134"/>
      <c r="W52" s="134"/>
      <c r="X52" s="134"/>
      <c r="Y52" s="135"/>
      <c r="Z52" s="135"/>
      <c r="AA52" s="135"/>
      <c r="AB52" s="135"/>
      <c r="AC52" s="135"/>
      <c r="AD52" s="135"/>
    </row>
    <row r="53" spans="1:30" s="220" customFormat="1" ht="25.5" x14ac:dyDescent="0.25">
      <c r="A53" s="218"/>
      <c r="B53" s="295"/>
      <c r="C53" s="219" t="s">
        <v>225</v>
      </c>
      <c r="D53" s="144" t="s">
        <v>268</v>
      </c>
      <c r="E53" s="190">
        <v>1</v>
      </c>
      <c r="F53" s="251" t="s">
        <v>15</v>
      </c>
      <c r="G53" s="252">
        <v>1</v>
      </c>
      <c r="H53" s="252">
        <v>30</v>
      </c>
      <c r="I53" s="252">
        <v>30</v>
      </c>
      <c r="J53" s="253">
        <f t="shared" si="24"/>
        <v>17106341.849999998</v>
      </c>
      <c r="K53" s="253">
        <f t="shared" si="25"/>
        <v>5400</v>
      </c>
      <c r="L53" s="155">
        <v>0.08</v>
      </c>
      <c r="M53" s="210">
        <f t="shared" si="26"/>
        <v>1368939.3479999998</v>
      </c>
      <c r="N53" s="148">
        <f t="shared" si="5"/>
        <v>18480681.197999999</v>
      </c>
      <c r="O53" s="156">
        <f t="shared" si="19"/>
        <v>1848068.1198</v>
      </c>
      <c r="P53" s="156">
        <f t="shared" si="16"/>
        <v>351132.94276200002</v>
      </c>
      <c r="Q53" s="148">
        <f t="shared" si="17"/>
        <v>18831814.140761998</v>
      </c>
      <c r="R53" s="205">
        <v>3</v>
      </c>
      <c r="S53" s="157">
        <f t="shared" si="27"/>
        <v>1055977.3</v>
      </c>
      <c r="T53" s="150">
        <f t="shared" si="18"/>
        <v>17775836.840761997</v>
      </c>
      <c r="U53" s="151"/>
      <c r="V53" s="134"/>
      <c r="W53" s="134"/>
      <c r="X53" s="134"/>
      <c r="Y53" s="135"/>
      <c r="Z53" s="135"/>
      <c r="AA53" s="135"/>
      <c r="AB53" s="135"/>
      <c r="AC53" s="135"/>
      <c r="AD53" s="135"/>
    </row>
    <row r="54" spans="1:30" s="220" customFormat="1" x14ac:dyDescent="0.25">
      <c r="A54" s="218"/>
      <c r="B54" s="295"/>
      <c r="C54" s="219" t="s">
        <v>225</v>
      </c>
      <c r="D54" s="144" t="s">
        <v>269</v>
      </c>
      <c r="E54" s="190">
        <v>1</v>
      </c>
      <c r="F54" s="251" t="s">
        <v>15</v>
      </c>
      <c r="G54" s="252">
        <v>1</v>
      </c>
      <c r="H54" s="252">
        <v>30</v>
      </c>
      <c r="I54" s="252">
        <v>30</v>
      </c>
      <c r="J54" s="253">
        <f t="shared" si="24"/>
        <v>17106341.849999998</v>
      </c>
      <c r="K54" s="253">
        <f t="shared" si="25"/>
        <v>5400</v>
      </c>
      <c r="L54" s="155">
        <v>0.08</v>
      </c>
      <c r="M54" s="210">
        <f t="shared" si="26"/>
        <v>1368939.3479999998</v>
      </c>
      <c r="N54" s="148">
        <f t="shared" si="5"/>
        <v>18480681.197999999</v>
      </c>
      <c r="O54" s="156">
        <f t="shared" si="19"/>
        <v>1848068.1198</v>
      </c>
      <c r="P54" s="156">
        <f t="shared" si="16"/>
        <v>351132.94276200002</v>
      </c>
      <c r="Q54" s="148">
        <f t="shared" si="17"/>
        <v>18831814.140761998</v>
      </c>
      <c r="R54" s="205">
        <v>3</v>
      </c>
      <c r="S54" s="157">
        <f t="shared" si="27"/>
        <v>1055977.3</v>
      </c>
      <c r="T54" s="150">
        <f t="shared" si="18"/>
        <v>17775836.840761997</v>
      </c>
      <c r="U54" s="151"/>
      <c r="V54" s="134"/>
      <c r="W54" s="134"/>
      <c r="X54" s="134"/>
      <c r="Y54" s="135"/>
      <c r="Z54" s="135"/>
      <c r="AA54" s="135"/>
      <c r="AB54" s="135"/>
      <c r="AC54" s="135"/>
      <c r="AD54" s="135"/>
    </row>
    <row r="55" spans="1:30" s="220" customFormat="1" ht="21" customHeight="1" x14ac:dyDescent="0.25">
      <c r="B55" s="295"/>
      <c r="C55" s="219" t="s">
        <v>225</v>
      </c>
      <c r="D55" s="144" t="s">
        <v>317</v>
      </c>
      <c r="E55" s="190">
        <v>1</v>
      </c>
      <c r="F55" s="251" t="s">
        <v>16</v>
      </c>
      <c r="G55" s="252">
        <v>1</v>
      </c>
      <c r="H55" s="252">
        <v>30</v>
      </c>
      <c r="I55" s="252">
        <v>30</v>
      </c>
      <c r="J55" s="253">
        <f>+(((((1750905*9.77)*47.59%)/13*12)/30)*I55)*E55</f>
        <v>7514684.387459999</v>
      </c>
      <c r="K55" s="253">
        <f t="shared" ref="K55:K56" si="28">1800*2/30*I55</f>
        <v>3600</v>
      </c>
      <c r="L55" s="147">
        <v>0.08</v>
      </c>
      <c r="M55" s="210">
        <f t="shared" ref="M55:M56" si="29">(J55+K55)*L55</f>
        <v>601462.75099679991</v>
      </c>
      <c r="N55" s="148">
        <f t="shared" si="5"/>
        <v>8119747.1384567991</v>
      </c>
      <c r="O55" s="148">
        <f t="shared" si="19"/>
        <v>811974.71384568</v>
      </c>
      <c r="P55" s="148">
        <f t="shared" si="16"/>
        <v>154275.1956306792</v>
      </c>
      <c r="Q55" s="148">
        <f t="shared" si="17"/>
        <v>8274022.334087478</v>
      </c>
      <c r="R55" s="205"/>
      <c r="S55" s="157"/>
      <c r="T55" s="150">
        <f t="shared" si="18"/>
        <v>8274022.334087478</v>
      </c>
      <c r="U55" s="151"/>
      <c r="V55" s="134"/>
      <c r="W55" s="134"/>
      <c r="X55" s="134"/>
      <c r="Y55" s="135"/>
      <c r="Z55" s="135"/>
      <c r="AA55" s="135"/>
      <c r="AB55" s="135"/>
      <c r="AC55" s="135"/>
      <c r="AD55" s="135"/>
    </row>
    <row r="56" spans="1:30" s="220" customFormat="1" x14ac:dyDescent="0.25">
      <c r="A56" s="218"/>
      <c r="B56" s="295"/>
      <c r="C56" s="219" t="s">
        <v>225</v>
      </c>
      <c r="D56" s="144" t="s">
        <v>270</v>
      </c>
      <c r="E56" s="190">
        <v>1</v>
      </c>
      <c r="F56" s="251" t="s">
        <v>16</v>
      </c>
      <c r="G56" s="252">
        <v>1</v>
      </c>
      <c r="H56" s="252">
        <v>30</v>
      </c>
      <c r="I56" s="252">
        <v>30</v>
      </c>
      <c r="J56" s="253">
        <f>+(((((1750905*9.77)*47.59%)/13*12)/30)*I56)*E56</f>
        <v>7514684.387459999</v>
      </c>
      <c r="K56" s="253">
        <f t="shared" si="28"/>
        <v>3600</v>
      </c>
      <c r="L56" s="155">
        <v>0.08</v>
      </c>
      <c r="M56" s="210">
        <f t="shared" si="29"/>
        <v>601462.75099679991</v>
      </c>
      <c r="N56" s="148">
        <f t="shared" si="5"/>
        <v>8119747.1384567991</v>
      </c>
      <c r="O56" s="156">
        <f t="shared" si="19"/>
        <v>811974.71384568</v>
      </c>
      <c r="P56" s="156">
        <f t="shared" si="16"/>
        <v>154275.1956306792</v>
      </c>
      <c r="Q56" s="148">
        <f t="shared" si="17"/>
        <v>8274022.334087478</v>
      </c>
      <c r="R56" s="205"/>
      <c r="S56" s="157"/>
      <c r="T56" s="150">
        <f t="shared" si="18"/>
        <v>8274022.334087478</v>
      </c>
      <c r="U56" s="151"/>
      <c r="V56" s="134"/>
      <c r="W56" s="134"/>
      <c r="X56" s="134"/>
      <c r="Y56" s="135"/>
      <c r="Z56" s="135"/>
      <c r="AA56" s="135"/>
      <c r="AB56" s="135"/>
      <c r="AC56" s="135"/>
      <c r="AD56" s="135"/>
    </row>
    <row r="57" spans="1:30" s="220" customFormat="1" x14ac:dyDescent="0.25">
      <c r="A57" s="218"/>
      <c r="B57" s="295"/>
      <c r="C57" s="219" t="s">
        <v>225</v>
      </c>
      <c r="D57" s="299" t="s">
        <v>271</v>
      </c>
      <c r="E57" s="190">
        <v>1</v>
      </c>
      <c r="F57" s="251" t="s">
        <v>15</v>
      </c>
      <c r="G57" s="252">
        <v>1</v>
      </c>
      <c r="H57" s="252">
        <v>30</v>
      </c>
      <c r="I57" s="252">
        <v>30</v>
      </c>
      <c r="J57" s="253">
        <f>+(((1750905*9.77)/30)*I57)*E57</f>
        <v>17106341.849999998</v>
      </c>
      <c r="K57" s="253">
        <f>1800*3/30*I57</f>
        <v>5400</v>
      </c>
      <c r="L57" s="155">
        <v>0.08</v>
      </c>
      <c r="M57" s="210">
        <f>(J57+K57)*L57</f>
        <v>1368939.3479999998</v>
      </c>
      <c r="N57" s="148">
        <f t="shared" si="5"/>
        <v>18480681.197999999</v>
      </c>
      <c r="O57" s="156">
        <f t="shared" si="19"/>
        <v>1848068.1198</v>
      </c>
      <c r="P57" s="156">
        <f t="shared" si="16"/>
        <v>351132.94276200002</v>
      </c>
      <c r="Q57" s="148">
        <f t="shared" si="17"/>
        <v>18831814.140761998</v>
      </c>
      <c r="R57" s="205">
        <v>2</v>
      </c>
      <c r="S57" s="157">
        <f t="shared" si="27"/>
        <v>703984.8666666667</v>
      </c>
      <c r="T57" s="150">
        <f t="shared" si="18"/>
        <v>18127829.27409533</v>
      </c>
      <c r="U57" s="151"/>
      <c r="V57" s="134"/>
      <c r="W57" s="134"/>
      <c r="X57" s="134"/>
      <c r="Y57" s="135"/>
      <c r="Z57" s="135"/>
      <c r="AA57" s="135"/>
      <c r="AB57" s="135"/>
      <c r="AC57" s="135"/>
      <c r="AD57" s="135"/>
    </row>
    <row r="58" spans="1:30" s="218" customFormat="1" ht="26.25" customHeight="1" x14ac:dyDescent="0.25">
      <c r="B58" s="294"/>
      <c r="C58" s="221" t="s">
        <v>225</v>
      </c>
      <c r="D58" s="302"/>
      <c r="E58" s="132">
        <v>1</v>
      </c>
      <c r="F58" s="257" t="s">
        <v>20</v>
      </c>
      <c r="G58" s="258">
        <v>1</v>
      </c>
      <c r="H58" s="258">
        <v>30</v>
      </c>
      <c r="I58" s="252">
        <v>30</v>
      </c>
      <c r="J58" s="254">
        <f>+(((((1750905*9.77)*47.59%)/13*13)/30)*I58*E58+(((((1750905*9.77))*52.41%)/11*1)/30*I58))</f>
        <v>8955947.5194681808</v>
      </c>
      <c r="K58" s="254">
        <f>1800*2/30*I58</f>
        <v>3600</v>
      </c>
      <c r="L58" s="155">
        <v>0.08</v>
      </c>
      <c r="M58" s="208">
        <f>(J58+K58)*L58</f>
        <v>716763.80155745451</v>
      </c>
      <c r="N58" s="148">
        <f t="shared" si="5"/>
        <v>9676311.321025636</v>
      </c>
      <c r="O58" s="156">
        <f t="shared" si="19"/>
        <v>967631.13210256363</v>
      </c>
      <c r="P58" s="156">
        <f t="shared" si="16"/>
        <v>183849.91509948709</v>
      </c>
      <c r="Q58" s="156">
        <f t="shared" si="17"/>
        <v>9860161.2361251228</v>
      </c>
      <c r="R58" s="206"/>
      <c r="S58" s="157"/>
      <c r="T58" s="150">
        <f t="shared" si="18"/>
        <v>9860161.2361251228</v>
      </c>
      <c r="U58" s="141"/>
      <c r="V58" s="67"/>
      <c r="W58" s="67"/>
      <c r="X58" s="67"/>
      <c r="Y58"/>
      <c r="Z58"/>
      <c r="AA58"/>
      <c r="AB58"/>
      <c r="AC58"/>
      <c r="AD58"/>
    </row>
    <row r="59" spans="1:30" s="218" customFormat="1" ht="26.25" x14ac:dyDescent="0.25">
      <c r="B59" s="294"/>
      <c r="C59" s="221" t="s">
        <v>225</v>
      </c>
      <c r="D59" s="159" t="s">
        <v>272</v>
      </c>
      <c r="E59" s="132">
        <v>1</v>
      </c>
      <c r="F59" s="257" t="s">
        <v>20</v>
      </c>
      <c r="G59" s="258">
        <v>1</v>
      </c>
      <c r="H59" s="258">
        <v>30</v>
      </c>
      <c r="I59" s="252">
        <v>30</v>
      </c>
      <c r="J59" s="254">
        <f>+(((((1750905*9.77)*47.59%)/13*13)/30)*I59*E59+(((((1750905*9.77))*52.41%)/11*1)/30*I59))</f>
        <v>8955947.5194681808</v>
      </c>
      <c r="K59" s="254">
        <f>1800*2/30*I59</f>
        <v>3600</v>
      </c>
      <c r="L59" s="155">
        <v>0.08</v>
      </c>
      <c r="M59" s="208">
        <f>(J59+K59)*L59</f>
        <v>716763.80155745451</v>
      </c>
      <c r="N59" s="148">
        <f t="shared" si="5"/>
        <v>9676311.321025636</v>
      </c>
      <c r="O59" s="156">
        <f t="shared" si="19"/>
        <v>967631.13210256363</v>
      </c>
      <c r="P59" s="156">
        <f t="shared" si="16"/>
        <v>183849.91509948709</v>
      </c>
      <c r="Q59" s="156">
        <f t="shared" si="17"/>
        <v>9860161.2361251228</v>
      </c>
      <c r="R59" s="206"/>
      <c r="S59" s="157"/>
      <c r="T59" s="150">
        <f t="shared" si="18"/>
        <v>9860161.2361251228</v>
      </c>
      <c r="U59" s="141"/>
      <c r="V59" s="67"/>
      <c r="W59" s="67"/>
      <c r="X59" s="67"/>
      <c r="Y59"/>
      <c r="Z59"/>
      <c r="AA59"/>
      <c r="AB59"/>
      <c r="AC59"/>
      <c r="AD59"/>
    </row>
    <row r="60" spans="1:30" s="220" customFormat="1" ht="26.25" x14ac:dyDescent="0.25">
      <c r="A60" s="218"/>
      <c r="B60" s="295"/>
      <c r="C60" s="219" t="s">
        <v>225</v>
      </c>
      <c r="D60" s="146" t="s">
        <v>273</v>
      </c>
      <c r="E60" s="190">
        <v>1</v>
      </c>
      <c r="F60" s="251" t="s">
        <v>15</v>
      </c>
      <c r="G60" s="252">
        <v>1</v>
      </c>
      <c r="H60" s="252">
        <v>30</v>
      </c>
      <c r="I60" s="252">
        <v>30</v>
      </c>
      <c r="J60" s="253">
        <f t="shared" ref="J60:J64" si="30">+(((1750905*9.77)/30)*I60)*E60</f>
        <v>17106341.849999998</v>
      </c>
      <c r="K60" s="253">
        <f t="shared" ref="K60:K64" si="31">1800*3/30*I60</f>
        <v>5400</v>
      </c>
      <c r="L60" s="155">
        <v>0.08</v>
      </c>
      <c r="M60" s="210">
        <f t="shared" ref="M60:M64" si="32">(J60+K60)*L60</f>
        <v>1368939.3479999998</v>
      </c>
      <c r="N60" s="148">
        <f t="shared" si="5"/>
        <v>18480681.197999999</v>
      </c>
      <c r="O60" s="156">
        <f>N60*10%</f>
        <v>1848068.1198</v>
      </c>
      <c r="P60" s="156">
        <f>+O60*19%</f>
        <v>351132.94276200002</v>
      </c>
      <c r="Q60" s="148">
        <f>N60+P60</f>
        <v>18831814.140761998</v>
      </c>
      <c r="R60" s="205"/>
      <c r="S60" s="157"/>
      <c r="T60" s="150">
        <f t="shared" si="18"/>
        <v>18831814.140761998</v>
      </c>
      <c r="U60" s="151"/>
      <c r="V60" s="134"/>
      <c r="W60" s="134"/>
      <c r="X60" s="134"/>
      <c r="Y60" s="135"/>
      <c r="Z60" s="135"/>
      <c r="AA60" s="135"/>
      <c r="AB60" s="135"/>
      <c r="AC60" s="135"/>
      <c r="AD60" s="135"/>
    </row>
    <row r="61" spans="1:30" s="135" customFormat="1" ht="17.25" customHeight="1" x14ac:dyDescent="0.25">
      <c r="A61"/>
      <c r="B61" s="295"/>
      <c r="C61" s="243" t="s">
        <v>225</v>
      </c>
      <c r="D61" s="145" t="s">
        <v>274</v>
      </c>
      <c r="E61" s="190">
        <v>1</v>
      </c>
      <c r="F61" s="251" t="s">
        <v>15</v>
      </c>
      <c r="G61" s="252">
        <v>1</v>
      </c>
      <c r="H61" s="252">
        <v>30</v>
      </c>
      <c r="I61" s="252">
        <v>30</v>
      </c>
      <c r="J61" s="253">
        <f t="shared" si="30"/>
        <v>17106341.849999998</v>
      </c>
      <c r="K61" s="253">
        <f t="shared" si="31"/>
        <v>5400</v>
      </c>
      <c r="L61" s="155">
        <v>0.08</v>
      </c>
      <c r="M61" s="210">
        <f t="shared" si="32"/>
        <v>1368939.3479999998</v>
      </c>
      <c r="N61" s="148">
        <f t="shared" si="5"/>
        <v>18480681.197999999</v>
      </c>
      <c r="O61" s="156">
        <f t="shared" si="19"/>
        <v>1848068.1198</v>
      </c>
      <c r="P61" s="156">
        <f t="shared" si="16"/>
        <v>351132.94276200002</v>
      </c>
      <c r="Q61" s="148">
        <f t="shared" si="17"/>
        <v>18831814.140761998</v>
      </c>
      <c r="R61" s="205"/>
      <c r="S61" s="157"/>
      <c r="T61" s="150">
        <f t="shared" si="18"/>
        <v>18831814.140761998</v>
      </c>
      <c r="U61" s="151"/>
      <c r="V61" s="134"/>
      <c r="W61" s="134"/>
      <c r="X61" s="134"/>
    </row>
    <row r="62" spans="1:30" s="220" customFormat="1" x14ac:dyDescent="0.25">
      <c r="A62" s="218"/>
      <c r="B62" s="295"/>
      <c r="C62" s="219" t="s">
        <v>225</v>
      </c>
      <c r="D62" s="145" t="s">
        <v>275</v>
      </c>
      <c r="E62" s="190">
        <v>1</v>
      </c>
      <c r="F62" s="251" t="s">
        <v>15</v>
      </c>
      <c r="G62" s="252">
        <v>1</v>
      </c>
      <c r="H62" s="252">
        <v>30</v>
      </c>
      <c r="I62" s="252">
        <v>30</v>
      </c>
      <c r="J62" s="253">
        <f t="shared" si="30"/>
        <v>17106341.849999998</v>
      </c>
      <c r="K62" s="253">
        <f t="shared" si="31"/>
        <v>5400</v>
      </c>
      <c r="L62" s="155">
        <v>0.08</v>
      </c>
      <c r="M62" s="210">
        <f t="shared" si="32"/>
        <v>1368939.3479999998</v>
      </c>
      <c r="N62" s="148">
        <f t="shared" si="5"/>
        <v>18480681.197999999</v>
      </c>
      <c r="O62" s="156">
        <f t="shared" si="19"/>
        <v>1848068.1198</v>
      </c>
      <c r="P62" s="156">
        <f t="shared" si="16"/>
        <v>351132.94276200002</v>
      </c>
      <c r="Q62" s="148">
        <f t="shared" si="17"/>
        <v>18831814.140761998</v>
      </c>
      <c r="R62" s="205"/>
      <c r="S62" s="157"/>
      <c r="T62" s="150">
        <f t="shared" si="18"/>
        <v>18831814.140761998</v>
      </c>
      <c r="U62" s="151"/>
      <c r="V62" s="134"/>
      <c r="W62" s="134"/>
      <c r="X62" s="134"/>
      <c r="Y62" s="135"/>
      <c r="Z62" s="135"/>
      <c r="AA62" s="135"/>
      <c r="AB62" s="135"/>
      <c r="AC62" s="135"/>
      <c r="AD62" s="135"/>
    </row>
    <row r="63" spans="1:30" s="220" customFormat="1" ht="26.25" x14ac:dyDescent="0.25">
      <c r="A63" s="218"/>
      <c r="B63" s="295"/>
      <c r="C63" s="219" t="s">
        <v>225</v>
      </c>
      <c r="D63" s="271" t="s">
        <v>276</v>
      </c>
      <c r="E63" s="272">
        <v>1</v>
      </c>
      <c r="F63" s="271" t="s">
        <v>15</v>
      </c>
      <c r="G63" s="272">
        <v>1</v>
      </c>
      <c r="H63" s="272">
        <v>30</v>
      </c>
      <c r="I63" s="272">
        <v>30</v>
      </c>
      <c r="J63" s="273">
        <f t="shared" si="30"/>
        <v>17106341.849999998</v>
      </c>
      <c r="K63" s="273">
        <f t="shared" si="31"/>
        <v>5400</v>
      </c>
      <c r="L63" s="274">
        <v>0.08</v>
      </c>
      <c r="M63" s="275">
        <f t="shared" si="32"/>
        <v>1368939.3479999998</v>
      </c>
      <c r="N63" s="276">
        <f t="shared" si="5"/>
        <v>18480681.197999999</v>
      </c>
      <c r="O63" s="277">
        <f t="shared" si="19"/>
        <v>1848068.1198</v>
      </c>
      <c r="P63" s="277">
        <f t="shared" si="16"/>
        <v>351132.94276200002</v>
      </c>
      <c r="Q63" s="276">
        <f t="shared" si="17"/>
        <v>18831814.140761998</v>
      </c>
      <c r="R63" s="278"/>
      <c r="S63" s="279"/>
      <c r="T63" s="280">
        <f t="shared" si="18"/>
        <v>18831814.140761998</v>
      </c>
      <c r="U63" s="152"/>
      <c r="V63" s="134"/>
      <c r="W63" s="134"/>
      <c r="X63" s="134"/>
      <c r="Y63" s="135"/>
      <c r="Z63" s="135"/>
      <c r="AA63" s="135"/>
      <c r="AB63" s="135"/>
      <c r="AC63" s="135"/>
      <c r="AD63" s="135"/>
    </row>
    <row r="64" spans="1:30" s="135" customFormat="1" ht="15" customHeight="1" x14ac:dyDescent="0.25">
      <c r="A64"/>
      <c r="B64" s="295"/>
      <c r="C64" s="133" t="s">
        <v>225</v>
      </c>
      <c r="D64" s="158" t="s">
        <v>277</v>
      </c>
      <c r="E64" s="190">
        <v>1</v>
      </c>
      <c r="F64" s="251" t="s">
        <v>15</v>
      </c>
      <c r="G64" s="252">
        <v>1</v>
      </c>
      <c r="H64" s="252">
        <v>30</v>
      </c>
      <c r="I64" s="252">
        <v>30</v>
      </c>
      <c r="J64" s="253">
        <f t="shared" si="30"/>
        <v>17106341.849999998</v>
      </c>
      <c r="K64" s="253">
        <f t="shared" si="31"/>
        <v>5400</v>
      </c>
      <c r="L64" s="155">
        <v>0.08</v>
      </c>
      <c r="M64" s="210">
        <f t="shared" si="32"/>
        <v>1368939.3479999998</v>
      </c>
      <c r="N64" s="148">
        <f t="shared" si="5"/>
        <v>18480681.197999999</v>
      </c>
      <c r="O64" s="156">
        <f t="shared" si="19"/>
        <v>1848068.1198</v>
      </c>
      <c r="P64" s="156">
        <f t="shared" si="16"/>
        <v>351132.94276200002</v>
      </c>
      <c r="Q64" s="148">
        <f t="shared" si="17"/>
        <v>18831814.140761998</v>
      </c>
      <c r="R64" s="205"/>
      <c r="S64" s="157"/>
      <c r="T64" s="150">
        <f t="shared" si="18"/>
        <v>18831814.140761998</v>
      </c>
      <c r="U64" s="151"/>
      <c r="V64" s="134"/>
      <c r="W64" s="134"/>
      <c r="X64" s="134"/>
    </row>
    <row r="65" spans="1:24" s="135" customFormat="1" ht="19.5" customHeight="1" x14ac:dyDescent="0.25">
      <c r="A65"/>
      <c r="B65" s="295"/>
      <c r="C65" s="133" t="s">
        <v>225</v>
      </c>
      <c r="D65" s="158" t="s">
        <v>278</v>
      </c>
      <c r="E65" s="190">
        <v>1</v>
      </c>
      <c r="F65" s="251" t="s">
        <v>16</v>
      </c>
      <c r="G65" s="252">
        <v>1</v>
      </c>
      <c r="H65" s="252">
        <v>30</v>
      </c>
      <c r="I65" s="252">
        <v>30</v>
      </c>
      <c r="J65" s="253">
        <f>+(((((1750905*9.77)*47.59%)/13*12)/30)*I65)*E65</f>
        <v>7514684.387459999</v>
      </c>
      <c r="K65" s="253">
        <f>1800*2/30*I65</f>
        <v>3600</v>
      </c>
      <c r="L65" s="155">
        <v>0.08</v>
      </c>
      <c r="M65" s="210">
        <f>(J65+K65)*L65</f>
        <v>601462.75099679991</v>
      </c>
      <c r="N65" s="148">
        <f t="shared" si="5"/>
        <v>8119747.1384567991</v>
      </c>
      <c r="O65" s="156">
        <f t="shared" si="19"/>
        <v>811974.71384568</v>
      </c>
      <c r="P65" s="156">
        <f t="shared" si="16"/>
        <v>154275.1956306792</v>
      </c>
      <c r="Q65" s="148">
        <f t="shared" si="17"/>
        <v>8274022.334087478</v>
      </c>
      <c r="R65" s="205"/>
      <c r="S65" s="157"/>
      <c r="T65" s="150">
        <f t="shared" si="18"/>
        <v>8274022.334087478</v>
      </c>
      <c r="U65" s="151"/>
      <c r="V65" s="134"/>
      <c r="W65" s="134"/>
      <c r="X65" s="134"/>
    </row>
    <row r="66" spans="1:24" s="135" customFormat="1" x14ac:dyDescent="0.25">
      <c r="A66"/>
      <c r="B66" s="295"/>
      <c r="C66" s="133" t="s">
        <v>225</v>
      </c>
      <c r="D66" s="145" t="s">
        <v>277</v>
      </c>
      <c r="E66" s="190">
        <v>1</v>
      </c>
      <c r="F66" s="259" t="s">
        <v>183</v>
      </c>
      <c r="G66" s="252">
        <v>1</v>
      </c>
      <c r="H66" s="252">
        <v>30</v>
      </c>
      <c r="I66" s="252">
        <v>30</v>
      </c>
      <c r="J66" s="254">
        <f>+(((((1750905*9.77)*47.59%)/13*8)/30)*I66)*E66</f>
        <v>5009789.5916399993</v>
      </c>
      <c r="K66" s="254">
        <f>1800*2</f>
        <v>3600</v>
      </c>
      <c r="L66" s="155">
        <v>0.08</v>
      </c>
      <c r="M66" s="208">
        <f>(J66+K66)*L66</f>
        <v>401071.16733119998</v>
      </c>
      <c r="N66" s="148">
        <f t="shared" si="5"/>
        <v>5414460.7589711994</v>
      </c>
      <c r="O66" s="156">
        <f t="shared" si="19"/>
        <v>541446.07589711994</v>
      </c>
      <c r="P66" s="156">
        <f t="shared" si="16"/>
        <v>102874.75442045279</v>
      </c>
      <c r="Q66" s="148">
        <f t="shared" si="17"/>
        <v>5517335.5133916521</v>
      </c>
      <c r="R66" s="205"/>
      <c r="S66" s="157"/>
      <c r="T66" s="150">
        <f t="shared" si="18"/>
        <v>5517335.5133916521</v>
      </c>
      <c r="U66" s="151"/>
      <c r="V66" s="134"/>
      <c r="W66" s="134"/>
      <c r="X66" s="134"/>
    </row>
    <row r="67" spans="1:24" s="135" customFormat="1" x14ac:dyDescent="0.25">
      <c r="A67"/>
      <c r="B67" s="295"/>
      <c r="C67" s="133" t="s">
        <v>225</v>
      </c>
      <c r="D67" s="146" t="s">
        <v>23</v>
      </c>
      <c r="E67" s="190">
        <v>1</v>
      </c>
      <c r="F67" s="251" t="s">
        <v>15</v>
      </c>
      <c r="G67" s="252">
        <v>1</v>
      </c>
      <c r="H67" s="252">
        <v>30</v>
      </c>
      <c r="I67" s="252">
        <v>30</v>
      </c>
      <c r="J67" s="253">
        <f t="shared" ref="J67:J69" si="33">+(((1750905*9.77)/30)*I67)*E67</f>
        <v>17106341.849999998</v>
      </c>
      <c r="K67" s="253">
        <f t="shared" ref="K67:K69" si="34">1800*3/30*I67</f>
        <v>5400</v>
      </c>
      <c r="L67" s="155">
        <v>0.08</v>
      </c>
      <c r="M67" s="210">
        <f t="shared" ref="M67:M69" si="35">(J67+K67)*L67</f>
        <v>1368939.3479999998</v>
      </c>
      <c r="N67" s="148">
        <f t="shared" si="5"/>
        <v>18480681.197999999</v>
      </c>
      <c r="O67" s="156">
        <f>N67*10%</f>
        <v>1848068.1198</v>
      </c>
      <c r="P67" s="156">
        <f>+O67*19%</f>
        <v>351132.94276200002</v>
      </c>
      <c r="Q67" s="148">
        <f>N67+P67</f>
        <v>18831814.140761998</v>
      </c>
      <c r="R67" s="205"/>
      <c r="S67" s="157"/>
      <c r="T67" s="150">
        <f t="shared" si="18"/>
        <v>18831814.140761998</v>
      </c>
      <c r="U67" s="151"/>
      <c r="V67" s="134"/>
      <c r="W67" s="134"/>
      <c r="X67" s="134"/>
    </row>
    <row r="68" spans="1:24" s="135" customFormat="1" ht="17.25" customHeight="1" x14ac:dyDescent="0.25">
      <c r="A68"/>
      <c r="B68" s="295"/>
      <c r="C68" s="133" t="s">
        <v>225</v>
      </c>
      <c r="D68" s="161" t="s">
        <v>235</v>
      </c>
      <c r="E68" s="190">
        <v>1</v>
      </c>
      <c r="F68" s="251" t="s">
        <v>15</v>
      </c>
      <c r="G68" s="252">
        <v>1</v>
      </c>
      <c r="H68" s="252">
        <v>30</v>
      </c>
      <c r="I68" s="252">
        <v>30</v>
      </c>
      <c r="J68" s="253">
        <f t="shared" si="33"/>
        <v>17106341.849999998</v>
      </c>
      <c r="K68" s="253">
        <f t="shared" si="34"/>
        <v>5400</v>
      </c>
      <c r="L68" s="155">
        <v>0.08</v>
      </c>
      <c r="M68" s="210">
        <f t="shared" si="35"/>
        <v>1368939.3479999998</v>
      </c>
      <c r="N68" s="148">
        <f t="shared" si="5"/>
        <v>18480681.197999999</v>
      </c>
      <c r="O68" s="156">
        <f>N68*10%</f>
        <v>1848068.1198</v>
      </c>
      <c r="P68" s="156">
        <f>+O68*19%</f>
        <v>351132.94276200002</v>
      </c>
      <c r="Q68" s="148">
        <f>N68+P68</f>
        <v>18831814.140761998</v>
      </c>
      <c r="R68" s="205"/>
      <c r="S68" s="157"/>
      <c r="T68" s="150">
        <f t="shared" si="18"/>
        <v>18831814.140761998</v>
      </c>
      <c r="U68" s="151"/>
      <c r="V68" s="134"/>
      <c r="W68" s="134"/>
      <c r="X68" s="134"/>
    </row>
    <row r="69" spans="1:24" s="135" customFormat="1" ht="15" customHeight="1" x14ac:dyDescent="0.25">
      <c r="A69"/>
      <c r="B69" s="295"/>
      <c r="C69" s="133" t="s">
        <v>225</v>
      </c>
      <c r="D69" s="161" t="s">
        <v>236</v>
      </c>
      <c r="E69" s="190">
        <v>1</v>
      </c>
      <c r="F69" s="251" t="s">
        <v>15</v>
      </c>
      <c r="G69" s="252">
        <v>1</v>
      </c>
      <c r="H69" s="252">
        <v>30</v>
      </c>
      <c r="I69" s="252">
        <v>30</v>
      </c>
      <c r="J69" s="253">
        <f t="shared" si="33"/>
        <v>17106341.849999998</v>
      </c>
      <c r="K69" s="253">
        <f t="shared" si="34"/>
        <v>5400</v>
      </c>
      <c r="L69" s="155">
        <v>0.08</v>
      </c>
      <c r="M69" s="210">
        <f t="shared" si="35"/>
        <v>1368939.3479999998</v>
      </c>
      <c r="N69" s="148">
        <f t="shared" si="5"/>
        <v>18480681.197999999</v>
      </c>
      <c r="O69" s="156">
        <f>N69*10%</f>
        <v>1848068.1198</v>
      </c>
      <c r="P69" s="156">
        <f>+O69*19%</f>
        <v>351132.94276200002</v>
      </c>
      <c r="Q69" s="148">
        <f>N69+P69</f>
        <v>18831814.140761998</v>
      </c>
      <c r="R69" s="205"/>
      <c r="S69" s="157"/>
      <c r="T69" s="150">
        <f t="shared" si="18"/>
        <v>18831814.140761998</v>
      </c>
      <c r="U69" s="151"/>
      <c r="V69" s="134"/>
      <c r="W69" s="134"/>
      <c r="X69" s="134"/>
    </row>
    <row r="70" spans="1:24" s="135" customFormat="1" ht="15" customHeight="1" x14ac:dyDescent="0.25">
      <c r="A70"/>
      <c r="B70" s="295"/>
      <c r="C70" s="133" t="s">
        <v>225</v>
      </c>
      <c r="D70" s="161" t="s">
        <v>237</v>
      </c>
      <c r="E70" s="190">
        <v>1</v>
      </c>
      <c r="F70" s="251" t="s">
        <v>183</v>
      </c>
      <c r="G70" s="252">
        <v>1</v>
      </c>
      <c r="H70" s="252">
        <v>30</v>
      </c>
      <c r="I70" s="252">
        <v>30</v>
      </c>
      <c r="J70" s="254">
        <f>+(((((1750905*9.77)*47.59%)/13*8)/30)*I70)*E70</f>
        <v>5009789.5916399993</v>
      </c>
      <c r="K70" s="254">
        <f>1800*2</f>
        <v>3600</v>
      </c>
      <c r="L70" s="155">
        <v>0.08</v>
      </c>
      <c r="M70" s="208">
        <f t="shared" ref="M70:M77" si="36">(J70+K70)*L70</f>
        <v>401071.16733119998</v>
      </c>
      <c r="N70" s="148">
        <f t="shared" si="5"/>
        <v>5414460.7589711994</v>
      </c>
      <c r="O70" s="156">
        <f>N70*10%</f>
        <v>541446.07589711994</v>
      </c>
      <c r="P70" s="156">
        <f>+O70*19%</f>
        <v>102874.75442045279</v>
      </c>
      <c r="Q70" s="148">
        <f>N70+P70</f>
        <v>5517335.5133916521</v>
      </c>
      <c r="R70" s="205"/>
      <c r="S70" s="157"/>
      <c r="T70" s="150">
        <f t="shared" si="18"/>
        <v>5517335.5133916521</v>
      </c>
      <c r="U70" s="151"/>
      <c r="V70" s="134"/>
      <c r="W70" s="134"/>
      <c r="X70" s="134"/>
    </row>
    <row r="71" spans="1:24" s="135" customFormat="1" ht="15" customHeight="1" x14ac:dyDescent="0.25">
      <c r="A71"/>
      <c r="B71" s="295"/>
      <c r="C71" s="133" t="s">
        <v>225</v>
      </c>
      <c r="D71" s="144" t="s">
        <v>238</v>
      </c>
      <c r="E71" s="190">
        <v>1</v>
      </c>
      <c r="F71" s="251" t="s">
        <v>15</v>
      </c>
      <c r="G71" s="252">
        <v>1</v>
      </c>
      <c r="H71" s="252">
        <v>30</v>
      </c>
      <c r="I71" s="252">
        <v>30</v>
      </c>
      <c r="J71" s="253">
        <f>+(((1750905*9.77)/30)*I71)*E71</f>
        <v>17106341.849999998</v>
      </c>
      <c r="K71" s="253">
        <f>1800*3/30*I71</f>
        <v>5400</v>
      </c>
      <c r="L71" s="155">
        <v>0.08</v>
      </c>
      <c r="M71" s="210">
        <f t="shared" si="36"/>
        <v>1368939.3479999998</v>
      </c>
      <c r="N71" s="148">
        <f t="shared" si="5"/>
        <v>18480681.197999999</v>
      </c>
      <c r="O71" s="156">
        <f t="shared" ref="O71:O107" si="37">N71*10%</f>
        <v>1848068.1198</v>
      </c>
      <c r="P71" s="156">
        <f t="shared" ref="P71:P107" si="38">+O71*19%</f>
        <v>351132.94276200002</v>
      </c>
      <c r="Q71" s="148">
        <f>N71+P71</f>
        <v>18831814.140761998</v>
      </c>
      <c r="R71" s="205"/>
      <c r="S71" s="157"/>
      <c r="T71" s="150">
        <f t="shared" si="18"/>
        <v>18831814.140761998</v>
      </c>
      <c r="U71" s="151"/>
      <c r="V71" s="134"/>
      <c r="W71" s="134"/>
      <c r="X71" s="134"/>
    </row>
    <row r="72" spans="1:24" s="135" customFormat="1" ht="15" customHeight="1" x14ac:dyDescent="0.25">
      <c r="A72"/>
      <c r="B72" s="294"/>
      <c r="C72" s="133" t="s">
        <v>225</v>
      </c>
      <c r="D72" s="161" t="s">
        <v>239</v>
      </c>
      <c r="E72" s="190">
        <v>1</v>
      </c>
      <c r="F72" s="251" t="s">
        <v>17</v>
      </c>
      <c r="G72" s="252">
        <v>1</v>
      </c>
      <c r="H72" s="252">
        <v>30</v>
      </c>
      <c r="I72" s="252">
        <v>24</v>
      </c>
      <c r="J72" s="253">
        <f>+(((((1750905*9.77)*47.59%)/13*12)/30)*I72)*E72</f>
        <v>6011747.5099679995</v>
      </c>
      <c r="K72" s="253">
        <f>1800*2</f>
        <v>3600</v>
      </c>
      <c r="L72" s="147">
        <v>0.08</v>
      </c>
      <c r="M72" s="210">
        <f t="shared" si="36"/>
        <v>481227.80079744</v>
      </c>
      <c r="N72" s="148">
        <f t="shared" si="5"/>
        <v>6496575.3107654396</v>
      </c>
      <c r="O72" s="148">
        <f t="shared" si="37"/>
        <v>649657.53107654396</v>
      </c>
      <c r="P72" s="148">
        <f t="shared" si="38"/>
        <v>123434.93090454335</v>
      </c>
      <c r="Q72" s="148">
        <f t="shared" ref="Q72:Q107" si="39">N72+P72</f>
        <v>6620010.2416699827</v>
      </c>
      <c r="R72" s="205"/>
      <c r="S72" s="157"/>
      <c r="T72" s="150">
        <f t="shared" si="18"/>
        <v>6620010.2416699827</v>
      </c>
      <c r="U72" s="151"/>
      <c r="V72" s="134"/>
      <c r="W72" s="134"/>
      <c r="X72" s="134"/>
    </row>
    <row r="73" spans="1:24" s="135" customFormat="1" ht="15" customHeight="1" x14ac:dyDescent="0.25">
      <c r="A73"/>
      <c r="B73" s="295"/>
      <c r="C73" s="133" t="s">
        <v>225</v>
      </c>
      <c r="D73" s="292" t="s">
        <v>240</v>
      </c>
      <c r="E73" s="190">
        <v>1</v>
      </c>
      <c r="F73" s="251" t="s">
        <v>15</v>
      </c>
      <c r="G73" s="252">
        <v>1</v>
      </c>
      <c r="H73" s="252">
        <v>30</v>
      </c>
      <c r="I73" s="252">
        <v>30</v>
      </c>
      <c r="J73" s="253">
        <f>+(((1750905*9.77)/30)*I73)*E73</f>
        <v>17106341.849999998</v>
      </c>
      <c r="K73" s="253">
        <f>1800*3/30*I73</f>
        <v>5400</v>
      </c>
      <c r="L73" s="155">
        <v>0.08</v>
      </c>
      <c r="M73" s="210">
        <f t="shared" si="36"/>
        <v>1368939.3479999998</v>
      </c>
      <c r="N73" s="148">
        <f t="shared" si="5"/>
        <v>18480681.197999999</v>
      </c>
      <c r="O73" s="156">
        <f t="shared" si="37"/>
        <v>1848068.1198</v>
      </c>
      <c r="P73" s="156">
        <f t="shared" si="38"/>
        <v>351132.94276200002</v>
      </c>
      <c r="Q73" s="148">
        <f t="shared" si="39"/>
        <v>18831814.140761998</v>
      </c>
      <c r="R73" s="205"/>
      <c r="S73" s="157"/>
      <c r="T73" s="150">
        <f t="shared" si="18"/>
        <v>18831814.140761998</v>
      </c>
      <c r="U73" s="151"/>
      <c r="V73" s="134"/>
      <c r="W73" s="134"/>
      <c r="X73" s="134"/>
    </row>
    <row r="74" spans="1:24" s="135" customFormat="1" ht="15" customHeight="1" x14ac:dyDescent="0.25">
      <c r="A74"/>
      <c r="B74" s="295"/>
      <c r="C74" s="133" t="s">
        <v>225</v>
      </c>
      <c r="D74" s="292"/>
      <c r="E74" s="190">
        <v>1</v>
      </c>
      <c r="F74" s="251" t="s">
        <v>21</v>
      </c>
      <c r="G74" s="252">
        <v>1</v>
      </c>
      <c r="H74" s="252">
        <v>30</v>
      </c>
      <c r="I74" s="252">
        <v>24</v>
      </c>
      <c r="J74" s="254">
        <f>+(((((1750905*9.77)*47.59%)/13*8)/30)*I74)*E74</f>
        <v>4007831.673312</v>
      </c>
      <c r="K74" s="254">
        <f>1800*1</f>
        <v>1800</v>
      </c>
      <c r="L74" s="155">
        <v>0.08</v>
      </c>
      <c r="M74" s="208">
        <f t="shared" si="36"/>
        <v>320770.53386496002</v>
      </c>
      <c r="N74" s="148">
        <f t="shared" ref="N74:N137" si="40">J74+K74+M74</f>
        <v>4330402.2071769601</v>
      </c>
      <c r="O74" s="156">
        <f t="shared" si="37"/>
        <v>433040.22071769601</v>
      </c>
      <c r="P74" s="156">
        <f t="shared" si="38"/>
        <v>82277.641936362241</v>
      </c>
      <c r="Q74" s="148">
        <f t="shared" si="39"/>
        <v>4412679.8491133219</v>
      </c>
      <c r="R74" s="205"/>
      <c r="S74" s="157"/>
      <c r="T74" s="150">
        <f t="shared" si="18"/>
        <v>4412679.8491133219</v>
      </c>
      <c r="U74" s="151"/>
      <c r="V74" s="134"/>
      <c r="W74" s="134"/>
      <c r="X74" s="134"/>
    </row>
    <row r="75" spans="1:24" s="135" customFormat="1" ht="15" customHeight="1" x14ac:dyDescent="0.25">
      <c r="A75"/>
      <c r="B75" s="295"/>
      <c r="C75" s="133" t="s">
        <v>225</v>
      </c>
      <c r="D75" s="158" t="s">
        <v>305</v>
      </c>
      <c r="E75" s="190">
        <v>1</v>
      </c>
      <c r="F75" s="251" t="s">
        <v>16</v>
      </c>
      <c r="G75" s="252">
        <v>1</v>
      </c>
      <c r="H75" s="252">
        <v>30</v>
      </c>
      <c r="I75" s="252">
        <v>30</v>
      </c>
      <c r="J75" s="253">
        <f>+(((((1750905*9.77)*47.59%)/13*12)/30)*I75)*E75</f>
        <v>7514684.387459999</v>
      </c>
      <c r="K75" s="253">
        <f>1800*2/30*I75</f>
        <v>3600</v>
      </c>
      <c r="L75" s="155">
        <v>0.08</v>
      </c>
      <c r="M75" s="210">
        <f t="shared" si="36"/>
        <v>601462.75099679991</v>
      </c>
      <c r="N75" s="148">
        <f t="shared" si="40"/>
        <v>8119747.1384567991</v>
      </c>
      <c r="O75" s="156">
        <f t="shared" si="37"/>
        <v>811974.71384568</v>
      </c>
      <c r="P75" s="156">
        <f t="shared" si="38"/>
        <v>154275.1956306792</v>
      </c>
      <c r="Q75" s="148">
        <f>N75+P75</f>
        <v>8274022.334087478</v>
      </c>
      <c r="R75" s="205"/>
      <c r="S75" s="157"/>
      <c r="T75" s="150">
        <f t="shared" si="18"/>
        <v>8274022.334087478</v>
      </c>
      <c r="U75" s="151"/>
      <c r="V75" s="134"/>
      <c r="W75" s="134"/>
      <c r="X75" s="134"/>
    </row>
    <row r="76" spans="1:24" s="135" customFormat="1" ht="15" customHeight="1" x14ac:dyDescent="0.25">
      <c r="A76"/>
      <c r="B76" s="295"/>
      <c r="C76" s="133" t="s">
        <v>225</v>
      </c>
      <c r="D76" s="158" t="s">
        <v>215</v>
      </c>
      <c r="E76" s="190">
        <v>2</v>
      </c>
      <c r="F76" s="251" t="s">
        <v>15</v>
      </c>
      <c r="G76" s="252">
        <v>2</v>
      </c>
      <c r="H76" s="252">
        <v>30</v>
      </c>
      <c r="I76" s="252">
        <v>30</v>
      </c>
      <c r="J76" s="253">
        <f>+(((1750905*9.77)/30)*I76)*E76</f>
        <v>34212683.699999996</v>
      </c>
      <c r="K76" s="253">
        <v>10800</v>
      </c>
      <c r="L76" s="155">
        <v>0.08</v>
      </c>
      <c r="M76" s="210">
        <f t="shared" si="36"/>
        <v>2737878.6959999995</v>
      </c>
      <c r="N76" s="148">
        <f t="shared" si="40"/>
        <v>36961362.395999998</v>
      </c>
      <c r="O76" s="156">
        <f t="shared" si="37"/>
        <v>3696136.2396</v>
      </c>
      <c r="P76" s="156">
        <f t="shared" si="38"/>
        <v>702265.88552400004</v>
      </c>
      <c r="Q76" s="148">
        <f t="shared" si="39"/>
        <v>37663628.281523995</v>
      </c>
      <c r="R76" s="205"/>
      <c r="S76" s="157"/>
      <c r="T76" s="150">
        <f t="shared" si="18"/>
        <v>37663628.281523995</v>
      </c>
      <c r="U76" s="151"/>
      <c r="V76" s="134"/>
      <c r="W76" s="134"/>
      <c r="X76" s="134"/>
    </row>
    <row r="77" spans="1:24" s="135" customFormat="1" ht="28.5" customHeight="1" x14ac:dyDescent="0.25">
      <c r="A77"/>
      <c r="B77" s="294"/>
      <c r="C77" s="133" t="s">
        <v>225</v>
      </c>
      <c r="D77" s="158" t="s">
        <v>215</v>
      </c>
      <c r="E77" s="190">
        <v>2</v>
      </c>
      <c r="F77" s="251" t="s">
        <v>17</v>
      </c>
      <c r="G77" s="252">
        <v>2</v>
      </c>
      <c r="H77" s="252">
        <v>30</v>
      </c>
      <c r="I77" s="252">
        <v>24</v>
      </c>
      <c r="J77" s="253">
        <f>+(((((1750905*9.77)*47.59%)/13*12)/30)*I77)*E77</f>
        <v>12023495.019935999</v>
      </c>
      <c r="K77" s="253">
        <v>7200</v>
      </c>
      <c r="L77" s="147">
        <v>0.08</v>
      </c>
      <c r="M77" s="210">
        <f t="shared" si="36"/>
        <v>962455.60159487999</v>
      </c>
      <c r="N77" s="148">
        <f t="shared" si="40"/>
        <v>12993150.621530879</v>
      </c>
      <c r="O77" s="148">
        <f t="shared" si="37"/>
        <v>1299315.0621530879</v>
      </c>
      <c r="P77" s="148">
        <f t="shared" si="38"/>
        <v>246869.86180908669</v>
      </c>
      <c r="Q77" s="148">
        <f t="shared" si="39"/>
        <v>13240020.483339965</v>
      </c>
      <c r="R77" s="205"/>
      <c r="S77" s="157"/>
      <c r="T77" s="150">
        <f t="shared" si="18"/>
        <v>13240020.483339965</v>
      </c>
      <c r="U77" s="151"/>
      <c r="V77" s="134"/>
      <c r="W77" s="134"/>
      <c r="X77" s="134"/>
    </row>
    <row r="78" spans="1:24" s="135" customFormat="1" ht="15" customHeight="1" x14ac:dyDescent="0.25">
      <c r="A78"/>
      <c r="B78" s="295"/>
      <c r="C78" s="133" t="s">
        <v>225</v>
      </c>
      <c r="D78" s="292" t="s">
        <v>241</v>
      </c>
      <c r="E78" s="190">
        <v>1</v>
      </c>
      <c r="F78" s="251" t="s">
        <v>15</v>
      </c>
      <c r="G78" s="252">
        <v>1</v>
      </c>
      <c r="H78" s="252">
        <v>30</v>
      </c>
      <c r="I78" s="252">
        <v>30</v>
      </c>
      <c r="J78" s="253">
        <f t="shared" ref="J78:J84" si="41">+(((1750905*9.77)/30)*I78)*E78</f>
        <v>17106341.849999998</v>
      </c>
      <c r="K78" s="253">
        <f t="shared" ref="K78:K84" si="42">1800*3/30*I78</f>
        <v>5400</v>
      </c>
      <c r="L78" s="155">
        <v>0.08</v>
      </c>
      <c r="M78" s="210">
        <f t="shared" ref="M78:M84" si="43">(J78+K78)*L78</f>
        <v>1368939.3479999998</v>
      </c>
      <c r="N78" s="148">
        <f t="shared" si="40"/>
        <v>18480681.197999999</v>
      </c>
      <c r="O78" s="156">
        <f t="shared" si="37"/>
        <v>1848068.1198</v>
      </c>
      <c r="P78" s="156">
        <f t="shared" si="38"/>
        <v>351132.94276200002</v>
      </c>
      <c r="Q78" s="148">
        <f t="shared" si="39"/>
        <v>18831814.140761998</v>
      </c>
      <c r="R78" s="205"/>
      <c r="S78" s="157"/>
      <c r="T78" s="150">
        <f t="shared" si="18"/>
        <v>18831814.140761998</v>
      </c>
      <c r="U78" s="151"/>
      <c r="V78" s="134"/>
      <c r="W78" s="134"/>
      <c r="X78" s="134"/>
    </row>
    <row r="79" spans="1:24" s="135" customFormat="1" ht="15" customHeight="1" x14ac:dyDescent="0.25">
      <c r="A79"/>
      <c r="B79" s="295"/>
      <c r="C79" s="133" t="s">
        <v>225</v>
      </c>
      <c r="D79" s="292"/>
      <c r="E79" s="190">
        <v>1</v>
      </c>
      <c r="F79" s="251" t="s">
        <v>15</v>
      </c>
      <c r="G79" s="252">
        <v>1</v>
      </c>
      <c r="H79" s="252">
        <v>30</v>
      </c>
      <c r="I79" s="252">
        <v>30</v>
      </c>
      <c r="J79" s="253">
        <f t="shared" si="41"/>
        <v>17106341.849999998</v>
      </c>
      <c r="K79" s="253">
        <f t="shared" si="42"/>
        <v>5400</v>
      </c>
      <c r="L79" s="155">
        <v>0.08</v>
      </c>
      <c r="M79" s="210">
        <f t="shared" si="43"/>
        <v>1368939.3479999998</v>
      </c>
      <c r="N79" s="148">
        <f t="shared" si="40"/>
        <v>18480681.197999999</v>
      </c>
      <c r="O79" s="156">
        <f t="shared" si="37"/>
        <v>1848068.1198</v>
      </c>
      <c r="P79" s="156">
        <f t="shared" si="38"/>
        <v>351132.94276200002</v>
      </c>
      <c r="Q79" s="148">
        <f t="shared" si="39"/>
        <v>18831814.140761998</v>
      </c>
      <c r="R79" s="205"/>
      <c r="S79" s="157"/>
      <c r="T79" s="150">
        <f t="shared" si="18"/>
        <v>18831814.140761998</v>
      </c>
      <c r="U79" s="151"/>
      <c r="V79" s="134"/>
      <c r="W79" s="134"/>
      <c r="X79" s="134"/>
    </row>
    <row r="80" spans="1:24" s="135" customFormat="1" ht="17.25" customHeight="1" x14ac:dyDescent="0.25">
      <c r="A80"/>
      <c r="B80" s="295"/>
      <c r="C80" s="133" t="s">
        <v>225</v>
      </c>
      <c r="D80" s="161" t="s">
        <v>242</v>
      </c>
      <c r="E80" s="190">
        <v>1</v>
      </c>
      <c r="F80" s="251" t="s">
        <v>15</v>
      </c>
      <c r="G80" s="252">
        <v>1</v>
      </c>
      <c r="H80" s="252">
        <v>30</v>
      </c>
      <c r="I80" s="252">
        <v>30</v>
      </c>
      <c r="J80" s="253">
        <f t="shared" si="41"/>
        <v>17106341.849999998</v>
      </c>
      <c r="K80" s="253">
        <f t="shared" si="42"/>
        <v>5400</v>
      </c>
      <c r="L80" s="155">
        <v>0.08</v>
      </c>
      <c r="M80" s="210">
        <f t="shared" si="43"/>
        <v>1368939.3479999998</v>
      </c>
      <c r="N80" s="148">
        <f t="shared" si="40"/>
        <v>18480681.197999999</v>
      </c>
      <c r="O80" s="156">
        <f t="shared" si="37"/>
        <v>1848068.1198</v>
      </c>
      <c r="P80" s="156">
        <f t="shared" si="38"/>
        <v>351132.94276200002</v>
      </c>
      <c r="Q80" s="148">
        <f t="shared" si="39"/>
        <v>18831814.140761998</v>
      </c>
      <c r="R80" s="205"/>
      <c r="S80" s="157"/>
      <c r="T80" s="150">
        <f t="shared" si="18"/>
        <v>18831814.140761998</v>
      </c>
      <c r="U80" s="151"/>
      <c r="V80" s="134"/>
      <c r="W80" s="134"/>
      <c r="X80" s="134"/>
    </row>
    <row r="81" spans="1:24" s="135" customFormat="1" ht="17.25" customHeight="1" x14ac:dyDescent="0.25">
      <c r="A81"/>
      <c r="B81" s="295"/>
      <c r="C81" s="133" t="s">
        <v>225</v>
      </c>
      <c r="D81" s="161" t="s">
        <v>243</v>
      </c>
      <c r="E81" s="190">
        <v>1</v>
      </c>
      <c r="F81" s="251" t="s">
        <v>15</v>
      </c>
      <c r="G81" s="252">
        <v>1</v>
      </c>
      <c r="H81" s="252">
        <v>30</v>
      </c>
      <c r="I81" s="252">
        <v>30</v>
      </c>
      <c r="J81" s="253">
        <f t="shared" si="41"/>
        <v>17106341.849999998</v>
      </c>
      <c r="K81" s="253">
        <f t="shared" si="42"/>
        <v>5400</v>
      </c>
      <c r="L81" s="155">
        <v>0.08</v>
      </c>
      <c r="M81" s="210">
        <f t="shared" si="43"/>
        <v>1368939.3479999998</v>
      </c>
      <c r="N81" s="148">
        <f t="shared" si="40"/>
        <v>18480681.197999999</v>
      </c>
      <c r="O81" s="156">
        <f t="shared" si="37"/>
        <v>1848068.1198</v>
      </c>
      <c r="P81" s="156">
        <f t="shared" si="38"/>
        <v>351132.94276200002</v>
      </c>
      <c r="Q81" s="148">
        <f t="shared" si="39"/>
        <v>18831814.140761998</v>
      </c>
      <c r="R81" s="205"/>
      <c r="S81" s="157"/>
      <c r="T81" s="150">
        <f t="shared" si="18"/>
        <v>18831814.140761998</v>
      </c>
      <c r="U81" s="151"/>
      <c r="V81" s="134"/>
      <c r="W81" s="134"/>
      <c r="X81" s="134"/>
    </row>
    <row r="82" spans="1:24" s="135" customFormat="1" ht="17.25" customHeight="1" x14ac:dyDescent="0.25">
      <c r="A82"/>
      <c r="B82" s="295"/>
      <c r="C82" s="133" t="s">
        <v>225</v>
      </c>
      <c r="D82" s="161" t="s">
        <v>244</v>
      </c>
      <c r="E82" s="190">
        <v>1</v>
      </c>
      <c r="F82" s="251" t="s">
        <v>15</v>
      </c>
      <c r="G82" s="252">
        <v>1</v>
      </c>
      <c r="H82" s="252">
        <v>30</v>
      </c>
      <c r="I82" s="252">
        <v>30</v>
      </c>
      <c r="J82" s="253">
        <f t="shared" si="41"/>
        <v>17106341.849999998</v>
      </c>
      <c r="K82" s="253">
        <f t="shared" si="42"/>
        <v>5400</v>
      </c>
      <c r="L82" s="155">
        <v>0.08</v>
      </c>
      <c r="M82" s="210">
        <f t="shared" si="43"/>
        <v>1368939.3479999998</v>
      </c>
      <c r="N82" s="148">
        <f t="shared" si="40"/>
        <v>18480681.197999999</v>
      </c>
      <c r="O82" s="156">
        <f t="shared" si="37"/>
        <v>1848068.1198</v>
      </c>
      <c r="P82" s="156">
        <f t="shared" si="38"/>
        <v>351132.94276200002</v>
      </c>
      <c r="Q82" s="148">
        <f t="shared" si="39"/>
        <v>18831814.140761998</v>
      </c>
      <c r="R82" s="205"/>
      <c r="S82" s="157"/>
      <c r="T82" s="150">
        <f t="shared" si="18"/>
        <v>18831814.140761998</v>
      </c>
      <c r="U82" s="151"/>
      <c r="V82" s="134"/>
      <c r="W82" s="134"/>
      <c r="X82" s="134"/>
    </row>
    <row r="83" spans="1:24" s="135" customFormat="1" ht="15.75" customHeight="1" x14ac:dyDescent="0.25">
      <c r="A83"/>
      <c r="B83" s="295"/>
      <c r="C83" s="133" t="s">
        <v>225</v>
      </c>
      <c r="D83" s="161" t="s">
        <v>310</v>
      </c>
      <c r="E83" s="190">
        <v>1</v>
      </c>
      <c r="F83" s="251" t="s">
        <v>15</v>
      </c>
      <c r="G83" s="252">
        <v>1</v>
      </c>
      <c r="H83" s="252">
        <v>30</v>
      </c>
      <c r="I83" s="252">
        <v>30</v>
      </c>
      <c r="J83" s="253">
        <f t="shared" si="41"/>
        <v>17106341.849999998</v>
      </c>
      <c r="K83" s="253">
        <f t="shared" si="42"/>
        <v>5400</v>
      </c>
      <c r="L83" s="155">
        <v>0.08</v>
      </c>
      <c r="M83" s="210">
        <f t="shared" si="43"/>
        <v>1368939.3479999998</v>
      </c>
      <c r="N83" s="148">
        <f t="shared" si="40"/>
        <v>18480681.197999999</v>
      </c>
      <c r="O83" s="156">
        <f t="shared" si="37"/>
        <v>1848068.1198</v>
      </c>
      <c r="P83" s="156">
        <f t="shared" si="38"/>
        <v>351132.94276200002</v>
      </c>
      <c r="Q83" s="148">
        <f t="shared" si="39"/>
        <v>18831814.140761998</v>
      </c>
      <c r="R83" s="205"/>
      <c r="S83" s="157"/>
      <c r="T83" s="150">
        <f t="shared" si="18"/>
        <v>18831814.140761998</v>
      </c>
      <c r="U83" s="151"/>
      <c r="V83" s="134"/>
      <c r="W83" s="134"/>
      <c r="X83" s="134"/>
    </row>
    <row r="84" spans="1:24" s="135" customFormat="1" ht="15.75" customHeight="1" x14ac:dyDescent="0.25">
      <c r="A84"/>
      <c r="B84" s="295"/>
      <c r="C84" s="133" t="s">
        <v>225</v>
      </c>
      <c r="D84" s="161" t="s">
        <v>311</v>
      </c>
      <c r="E84" s="190">
        <v>1</v>
      </c>
      <c r="F84" s="251" t="s">
        <v>15</v>
      </c>
      <c r="G84" s="252">
        <v>1</v>
      </c>
      <c r="H84" s="252">
        <v>30</v>
      </c>
      <c r="I84" s="252">
        <v>30</v>
      </c>
      <c r="J84" s="253">
        <f t="shared" si="41"/>
        <v>17106341.849999998</v>
      </c>
      <c r="K84" s="253">
        <f t="shared" si="42"/>
        <v>5400</v>
      </c>
      <c r="L84" s="147">
        <v>0.08</v>
      </c>
      <c r="M84" s="210">
        <f t="shared" si="43"/>
        <v>1368939.3479999998</v>
      </c>
      <c r="N84" s="148">
        <f t="shared" si="40"/>
        <v>18480681.197999999</v>
      </c>
      <c r="O84" s="148">
        <f t="shared" si="37"/>
        <v>1848068.1198</v>
      </c>
      <c r="P84" s="148">
        <f t="shared" si="38"/>
        <v>351132.94276200002</v>
      </c>
      <c r="Q84" s="148">
        <f t="shared" si="39"/>
        <v>18831814.140761998</v>
      </c>
      <c r="R84" s="205"/>
      <c r="S84" s="157"/>
      <c r="T84" s="150">
        <f t="shared" si="18"/>
        <v>18831814.140761998</v>
      </c>
      <c r="U84" s="151"/>
      <c r="V84" s="134"/>
      <c r="W84" s="134"/>
      <c r="X84" s="134"/>
    </row>
    <row r="85" spans="1:24" s="135" customFormat="1" ht="17.25" customHeight="1" x14ac:dyDescent="0.25">
      <c r="A85"/>
      <c r="B85" s="295"/>
      <c r="C85" s="133" t="s">
        <v>225</v>
      </c>
      <c r="D85" s="161" t="s">
        <v>167</v>
      </c>
      <c r="E85" s="190">
        <v>1</v>
      </c>
      <c r="F85" s="251" t="s">
        <v>16</v>
      </c>
      <c r="G85" s="252">
        <v>1</v>
      </c>
      <c r="H85" s="252">
        <v>30</v>
      </c>
      <c r="I85" s="252">
        <v>30</v>
      </c>
      <c r="J85" s="253">
        <f>+(((((1750905*9.77)*47.59%)/13*12)/30)*I85)*E85</f>
        <v>7514684.387459999</v>
      </c>
      <c r="K85" s="253">
        <f>1800*2/30*I85</f>
        <v>3600</v>
      </c>
      <c r="L85" s="155">
        <v>0.08</v>
      </c>
      <c r="M85" s="210">
        <f>(J85+K85)*L85</f>
        <v>601462.75099679991</v>
      </c>
      <c r="N85" s="148">
        <f t="shared" si="40"/>
        <v>8119747.1384567991</v>
      </c>
      <c r="O85" s="156">
        <f t="shared" si="37"/>
        <v>811974.71384568</v>
      </c>
      <c r="P85" s="156">
        <f t="shared" si="38"/>
        <v>154275.1956306792</v>
      </c>
      <c r="Q85" s="148">
        <f t="shared" si="39"/>
        <v>8274022.334087478</v>
      </c>
      <c r="R85" s="205"/>
      <c r="S85" s="157"/>
      <c r="T85" s="150">
        <f t="shared" si="18"/>
        <v>8274022.334087478</v>
      </c>
      <c r="U85" s="151"/>
      <c r="V85" s="134"/>
      <c r="W85" s="134"/>
      <c r="X85" s="134"/>
    </row>
    <row r="86" spans="1:24" s="135" customFormat="1" ht="17.25" customHeight="1" x14ac:dyDescent="0.25">
      <c r="A86"/>
      <c r="B86" s="294"/>
      <c r="C86" s="133" t="s">
        <v>225</v>
      </c>
      <c r="D86" s="146" t="s">
        <v>304</v>
      </c>
      <c r="E86" s="190">
        <v>1</v>
      </c>
      <c r="F86" s="251" t="s">
        <v>17</v>
      </c>
      <c r="G86" s="252">
        <v>1</v>
      </c>
      <c r="H86" s="252">
        <v>30</v>
      </c>
      <c r="I86" s="252">
        <v>24</v>
      </c>
      <c r="J86" s="253">
        <f t="shared" ref="J86:J87" si="44">+(((((1750905*9.77)*47.59%)/13*12)/30)*I86)*E86</f>
        <v>6011747.5099679995</v>
      </c>
      <c r="K86" s="253">
        <f t="shared" ref="K86:K87" si="45">1800*2</f>
        <v>3600</v>
      </c>
      <c r="L86" s="147">
        <v>0.08</v>
      </c>
      <c r="M86" s="210">
        <f t="shared" ref="M86:M89" si="46">(J86+K86)*L86</f>
        <v>481227.80079744</v>
      </c>
      <c r="N86" s="148">
        <f t="shared" si="40"/>
        <v>6496575.3107654396</v>
      </c>
      <c r="O86" s="148">
        <f t="shared" si="37"/>
        <v>649657.53107654396</v>
      </c>
      <c r="P86" s="148">
        <f t="shared" si="38"/>
        <v>123434.93090454335</v>
      </c>
      <c r="Q86" s="148">
        <f t="shared" si="39"/>
        <v>6620010.2416699827</v>
      </c>
      <c r="R86" s="205"/>
      <c r="S86" s="157"/>
      <c r="T86" s="150">
        <f t="shared" si="18"/>
        <v>6620010.2416699827</v>
      </c>
      <c r="U86" s="151"/>
      <c r="V86" s="134"/>
      <c r="W86" s="134"/>
      <c r="X86" s="134"/>
    </row>
    <row r="87" spans="1:24" s="135" customFormat="1" ht="28.5" customHeight="1" x14ac:dyDescent="0.25">
      <c r="A87"/>
      <c r="B87" s="294"/>
      <c r="C87" s="133" t="s">
        <v>225</v>
      </c>
      <c r="D87" s="146" t="s">
        <v>314</v>
      </c>
      <c r="E87" s="190">
        <v>1</v>
      </c>
      <c r="F87" s="251" t="s">
        <v>17</v>
      </c>
      <c r="G87" s="252">
        <v>1</v>
      </c>
      <c r="H87" s="252">
        <v>30</v>
      </c>
      <c r="I87" s="252">
        <v>24</v>
      </c>
      <c r="J87" s="253">
        <f t="shared" si="44"/>
        <v>6011747.5099679995</v>
      </c>
      <c r="K87" s="253">
        <f t="shared" si="45"/>
        <v>3600</v>
      </c>
      <c r="L87" s="147">
        <v>0.08</v>
      </c>
      <c r="M87" s="210">
        <f t="shared" si="46"/>
        <v>481227.80079744</v>
      </c>
      <c r="N87" s="148">
        <f t="shared" si="40"/>
        <v>6496575.3107654396</v>
      </c>
      <c r="O87" s="148">
        <f t="shared" si="37"/>
        <v>649657.53107654396</v>
      </c>
      <c r="P87" s="148">
        <f t="shared" si="38"/>
        <v>123434.93090454335</v>
      </c>
      <c r="Q87" s="148">
        <f t="shared" si="39"/>
        <v>6620010.2416699827</v>
      </c>
      <c r="R87" s="205"/>
      <c r="S87" s="157"/>
      <c r="T87" s="150">
        <f t="shared" si="18"/>
        <v>6620010.2416699827</v>
      </c>
      <c r="U87" s="151"/>
      <c r="V87" s="134"/>
      <c r="W87" s="134"/>
      <c r="X87" s="134"/>
    </row>
    <row r="88" spans="1:24" s="287" customFormat="1" ht="28.5" customHeight="1" x14ac:dyDescent="0.25">
      <c r="A88" s="281"/>
      <c r="B88" s="295"/>
      <c r="C88" s="282" t="s">
        <v>225</v>
      </c>
      <c r="D88" s="290" t="s">
        <v>201</v>
      </c>
      <c r="E88" s="260">
        <v>1</v>
      </c>
      <c r="F88" s="251" t="s">
        <v>15</v>
      </c>
      <c r="G88" s="260">
        <v>1</v>
      </c>
      <c r="H88" s="252">
        <v>30</v>
      </c>
      <c r="I88" s="252">
        <v>30</v>
      </c>
      <c r="J88" s="253">
        <f t="shared" ref="J88:J89" si="47">+(((1750905*9.77)/30)*I88)*E88</f>
        <v>17106341.849999998</v>
      </c>
      <c r="K88" s="253">
        <f t="shared" ref="K88:K89" si="48">1800*3/30*I88</f>
        <v>5400</v>
      </c>
      <c r="L88" s="147">
        <v>0.08</v>
      </c>
      <c r="M88" s="210">
        <f t="shared" si="46"/>
        <v>1368939.3479999998</v>
      </c>
      <c r="N88" s="148">
        <f t="shared" si="40"/>
        <v>18480681.197999999</v>
      </c>
      <c r="O88" s="156">
        <f t="shared" si="37"/>
        <v>1848068.1198</v>
      </c>
      <c r="P88" s="156">
        <f t="shared" si="38"/>
        <v>351132.94276200002</v>
      </c>
      <c r="Q88" s="148">
        <f t="shared" si="39"/>
        <v>18831814.140761998</v>
      </c>
      <c r="R88" s="288"/>
      <c r="S88" s="157"/>
      <c r="T88" s="284">
        <f t="shared" si="18"/>
        <v>18831814.140761998</v>
      </c>
      <c r="U88" s="285"/>
      <c r="V88" s="286"/>
      <c r="W88" s="286"/>
      <c r="X88" s="286"/>
    </row>
    <row r="89" spans="1:24" s="135" customFormat="1" ht="31.5" customHeight="1" x14ac:dyDescent="0.25">
      <c r="A89"/>
      <c r="B89" s="295"/>
      <c r="C89" s="133" t="s">
        <v>225</v>
      </c>
      <c r="D89" s="158" t="s">
        <v>202</v>
      </c>
      <c r="E89" s="235">
        <v>1</v>
      </c>
      <c r="F89" s="251" t="s">
        <v>15</v>
      </c>
      <c r="G89" s="260">
        <v>1</v>
      </c>
      <c r="H89" s="252">
        <v>30</v>
      </c>
      <c r="I89" s="252">
        <v>30</v>
      </c>
      <c r="J89" s="253">
        <f t="shared" si="47"/>
        <v>17106341.849999998</v>
      </c>
      <c r="K89" s="253">
        <f t="shared" si="48"/>
        <v>5400</v>
      </c>
      <c r="L89" s="147">
        <v>0.08</v>
      </c>
      <c r="M89" s="210">
        <f t="shared" si="46"/>
        <v>1368939.3479999998</v>
      </c>
      <c r="N89" s="148">
        <f t="shared" si="40"/>
        <v>18480681.197999999</v>
      </c>
      <c r="O89" s="156">
        <f t="shared" si="37"/>
        <v>1848068.1198</v>
      </c>
      <c r="P89" s="156">
        <f t="shared" si="38"/>
        <v>351132.94276200002</v>
      </c>
      <c r="Q89" s="148">
        <f t="shared" si="39"/>
        <v>18831814.140761998</v>
      </c>
      <c r="R89" s="205"/>
      <c r="S89" s="157"/>
      <c r="T89" s="150">
        <f t="shared" si="18"/>
        <v>18831814.140761998</v>
      </c>
      <c r="U89" s="151"/>
      <c r="V89" s="134"/>
      <c r="W89" s="134"/>
      <c r="X89" s="134"/>
    </row>
    <row r="90" spans="1:24" s="229" customFormat="1" ht="33.75" customHeight="1" x14ac:dyDescent="0.25">
      <c r="B90" s="295"/>
      <c r="C90" s="233" t="s">
        <v>225</v>
      </c>
      <c r="D90" s="236" t="s">
        <v>203</v>
      </c>
      <c r="E90" s="237">
        <v>1</v>
      </c>
      <c r="F90" s="261" t="s">
        <v>319</v>
      </c>
      <c r="G90" s="262">
        <v>1</v>
      </c>
      <c r="H90" s="252">
        <v>30</v>
      </c>
      <c r="I90" s="252">
        <v>30</v>
      </c>
      <c r="J90" s="253">
        <f>+(((((1750905*9.77)*47.59%)/13*12)/30)*I90)*E90</f>
        <v>7514684.387459999</v>
      </c>
      <c r="K90" s="253">
        <f>1800*2/30*I90</f>
        <v>3600</v>
      </c>
      <c r="L90" s="238">
        <v>0.08</v>
      </c>
      <c r="M90" s="210">
        <f>(J90+K90)*L90</f>
        <v>601462.75099679991</v>
      </c>
      <c r="N90" s="148">
        <f t="shared" si="40"/>
        <v>8119747.1384567991</v>
      </c>
      <c r="O90" s="239">
        <f t="shared" si="37"/>
        <v>811974.71384568</v>
      </c>
      <c r="P90" s="239">
        <f t="shared" si="38"/>
        <v>154275.1956306792</v>
      </c>
      <c r="Q90" s="239">
        <f t="shared" si="39"/>
        <v>8274022.334087478</v>
      </c>
      <c r="R90" s="240">
        <v>11</v>
      </c>
      <c r="S90" s="241">
        <f>8274022/30*R90</f>
        <v>3033808.0666666669</v>
      </c>
      <c r="T90" s="150">
        <f t="shared" si="18"/>
        <v>5240214.2674208116</v>
      </c>
      <c r="U90" s="228"/>
      <c r="V90" s="136"/>
      <c r="W90" s="136"/>
      <c r="X90" s="136"/>
    </row>
    <row r="91" spans="1:24" s="135" customFormat="1" ht="15" customHeight="1" x14ac:dyDescent="0.25">
      <c r="B91" s="295"/>
      <c r="C91" s="133" t="s">
        <v>225</v>
      </c>
      <c r="D91" s="158" t="s">
        <v>204</v>
      </c>
      <c r="E91" s="235">
        <v>1</v>
      </c>
      <c r="F91" s="251" t="s">
        <v>15</v>
      </c>
      <c r="G91" s="260">
        <v>1</v>
      </c>
      <c r="H91" s="252">
        <v>30</v>
      </c>
      <c r="I91" s="252">
        <v>30</v>
      </c>
      <c r="J91" s="253">
        <f t="shared" ref="J91:J107" si="49">+(((1750905*9.77)/30)*I91)*E91</f>
        <v>17106341.849999998</v>
      </c>
      <c r="K91" s="253">
        <f t="shared" ref="K91:K107" si="50">1800*3/30*I91</f>
        <v>5400</v>
      </c>
      <c r="L91" s="147">
        <v>0.08</v>
      </c>
      <c r="M91" s="210">
        <f t="shared" ref="M91:M107" si="51">(J91+K91)*L91</f>
        <v>1368939.3479999998</v>
      </c>
      <c r="N91" s="148">
        <f t="shared" si="40"/>
        <v>18480681.197999999</v>
      </c>
      <c r="O91" s="148">
        <f t="shared" si="37"/>
        <v>1848068.1198</v>
      </c>
      <c r="P91" s="148">
        <f t="shared" si="38"/>
        <v>351132.94276200002</v>
      </c>
      <c r="Q91" s="148">
        <f t="shared" si="39"/>
        <v>18831814.140761998</v>
      </c>
      <c r="R91" s="205">
        <v>3</v>
      </c>
      <c r="S91" s="157">
        <f>10559773/30*R91</f>
        <v>1055977.3</v>
      </c>
      <c r="T91" s="150">
        <f t="shared" si="18"/>
        <v>17775836.840761997</v>
      </c>
      <c r="U91" s="222"/>
      <c r="V91" s="134"/>
      <c r="W91" s="134"/>
      <c r="X91" s="134"/>
    </row>
    <row r="92" spans="1:24" s="135" customFormat="1" ht="15" customHeight="1" x14ac:dyDescent="0.25">
      <c r="B92" s="295"/>
      <c r="C92" s="133" t="s">
        <v>225</v>
      </c>
      <c r="D92" s="158" t="s">
        <v>205</v>
      </c>
      <c r="E92" s="235">
        <v>1</v>
      </c>
      <c r="F92" s="251" t="s">
        <v>15</v>
      </c>
      <c r="G92" s="260">
        <v>1</v>
      </c>
      <c r="H92" s="252">
        <v>30</v>
      </c>
      <c r="I92" s="252">
        <v>30</v>
      </c>
      <c r="J92" s="253">
        <f t="shared" si="49"/>
        <v>17106341.849999998</v>
      </c>
      <c r="K92" s="253">
        <f t="shared" si="50"/>
        <v>5400</v>
      </c>
      <c r="L92" s="147">
        <v>0.08</v>
      </c>
      <c r="M92" s="210">
        <f t="shared" si="51"/>
        <v>1368939.3479999998</v>
      </c>
      <c r="N92" s="148">
        <f t="shared" si="40"/>
        <v>18480681.197999999</v>
      </c>
      <c r="O92" s="148">
        <f t="shared" si="37"/>
        <v>1848068.1198</v>
      </c>
      <c r="P92" s="148">
        <f t="shared" si="38"/>
        <v>351132.94276200002</v>
      </c>
      <c r="Q92" s="148">
        <f t="shared" si="39"/>
        <v>18831814.140761998</v>
      </c>
      <c r="R92" s="205">
        <v>3</v>
      </c>
      <c r="S92" s="157">
        <f t="shared" ref="S92:S101" si="52">10559773/30*R92</f>
        <v>1055977.3</v>
      </c>
      <c r="T92" s="150">
        <f t="shared" si="18"/>
        <v>17775836.840761997</v>
      </c>
      <c r="U92" s="151"/>
      <c r="V92" s="134"/>
      <c r="W92" s="134"/>
      <c r="X92" s="134"/>
    </row>
    <row r="93" spans="1:24" s="135" customFormat="1" ht="15" customHeight="1" x14ac:dyDescent="0.25">
      <c r="B93" s="295"/>
      <c r="C93" s="133" t="s">
        <v>225</v>
      </c>
      <c r="D93" s="158" t="s">
        <v>206</v>
      </c>
      <c r="E93" s="235">
        <v>1</v>
      </c>
      <c r="F93" s="251" t="s">
        <v>15</v>
      </c>
      <c r="G93" s="260">
        <v>1</v>
      </c>
      <c r="H93" s="252">
        <v>30</v>
      </c>
      <c r="I93" s="252">
        <v>30</v>
      </c>
      <c r="J93" s="253">
        <f t="shared" si="49"/>
        <v>17106341.849999998</v>
      </c>
      <c r="K93" s="253">
        <f t="shared" si="50"/>
        <v>5400</v>
      </c>
      <c r="L93" s="147">
        <v>0.08</v>
      </c>
      <c r="M93" s="210">
        <f t="shared" si="51"/>
        <v>1368939.3479999998</v>
      </c>
      <c r="N93" s="148">
        <f t="shared" si="40"/>
        <v>18480681.197999999</v>
      </c>
      <c r="O93" s="148">
        <f t="shared" si="37"/>
        <v>1848068.1198</v>
      </c>
      <c r="P93" s="148">
        <f t="shared" si="38"/>
        <v>351132.94276200002</v>
      </c>
      <c r="Q93" s="148">
        <f t="shared" si="39"/>
        <v>18831814.140761998</v>
      </c>
      <c r="R93" s="205">
        <v>3</v>
      </c>
      <c r="S93" s="157">
        <f t="shared" si="52"/>
        <v>1055977.3</v>
      </c>
      <c r="T93" s="150">
        <f t="shared" ref="T93:T107" si="53">Q93-S93</f>
        <v>17775836.840761997</v>
      </c>
      <c r="U93" s="151"/>
      <c r="V93" s="134"/>
      <c r="W93" s="134"/>
      <c r="X93" s="134"/>
    </row>
    <row r="94" spans="1:24" s="135" customFormat="1" ht="15" customHeight="1" x14ac:dyDescent="0.25">
      <c r="B94" s="295"/>
      <c r="C94" s="133" t="s">
        <v>225</v>
      </c>
      <c r="D94" s="158" t="s">
        <v>207</v>
      </c>
      <c r="E94" s="192">
        <v>1</v>
      </c>
      <c r="F94" s="251" t="s">
        <v>15</v>
      </c>
      <c r="G94" s="252">
        <v>1</v>
      </c>
      <c r="H94" s="252">
        <v>30</v>
      </c>
      <c r="I94" s="252">
        <v>30</v>
      </c>
      <c r="J94" s="253">
        <f t="shared" si="49"/>
        <v>17106341.849999998</v>
      </c>
      <c r="K94" s="253">
        <f t="shared" si="50"/>
        <v>5400</v>
      </c>
      <c r="L94" s="147">
        <v>0.08</v>
      </c>
      <c r="M94" s="210">
        <f t="shared" si="51"/>
        <v>1368939.3479999998</v>
      </c>
      <c r="N94" s="148">
        <f t="shared" si="40"/>
        <v>18480681.197999999</v>
      </c>
      <c r="O94" s="148">
        <f t="shared" si="37"/>
        <v>1848068.1198</v>
      </c>
      <c r="P94" s="148">
        <f t="shared" si="38"/>
        <v>351132.94276200002</v>
      </c>
      <c r="Q94" s="148">
        <f t="shared" si="39"/>
        <v>18831814.140761998</v>
      </c>
      <c r="R94" s="205">
        <v>3</v>
      </c>
      <c r="S94" s="157">
        <f t="shared" si="52"/>
        <v>1055977.3</v>
      </c>
      <c r="T94" s="150">
        <f t="shared" si="53"/>
        <v>17775836.840761997</v>
      </c>
      <c r="U94" s="151"/>
      <c r="V94" s="134"/>
      <c r="W94" s="134"/>
      <c r="X94" s="134"/>
    </row>
    <row r="95" spans="1:24" s="135" customFormat="1" ht="15" customHeight="1" x14ac:dyDescent="0.25">
      <c r="B95" s="295"/>
      <c r="C95" s="133" t="s">
        <v>225</v>
      </c>
      <c r="D95" s="292" t="s">
        <v>318</v>
      </c>
      <c r="E95" s="190">
        <v>1</v>
      </c>
      <c r="F95" s="251" t="s">
        <v>15</v>
      </c>
      <c r="G95" s="252">
        <v>1</v>
      </c>
      <c r="H95" s="252">
        <v>30</v>
      </c>
      <c r="I95" s="252">
        <v>30</v>
      </c>
      <c r="J95" s="253">
        <f t="shared" si="49"/>
        <v>17106341.849999998</v>
      </c>
      <c r="K95" s="253">
        <f t="shared" si="50"/>
        <v>5400</v>
      </c>
      <c r="L95" s="147">
        <v>0.08</v>
      </c>
      <c r="M95" s="210">
        <f t="shared" si="51"/>
        <v>1368939.3479999998</v>
      </c>
      <c r="N95" s="148">
        <f t="shared" si="40"/>
        <v>18480681.197999999</v>
      </c>
      <c r="O95" s="148">
        <f t="shared" si="37"/>
        <v>1848068.1198</v>
      </c>
      <c r="P95" s="148">
        <f t="shared" si="38"/>
        <v>351132.94276200002</v>
      </c>
      <c r="Q95" s="148">
        <f t="shared" si="39"/>
        <v>18831814.140761998</v>
      </c>
      <c r="R95" s="205">
        <v>3</v>
      </c>
      <c r="S95" s="157">
        <f t="shared" si="52"/>
        <v>1055977.3</v>
      </c>
      <c r="T95" s="150">
        <f t="shared" si="53"/>
        <v>17775836.840761997</v>
      </c>
      <c r="U95" s="151"/>
      <c r="V95" s="134"/>
      <c r="W95" s="134"/>
      <c r="X95" s="134"/>
    </row>
    <row r="96" spans="1:24" s="135" customFormat="1" ht="15" customHeight="1" x14ac:dyDescent="0.25">
      <c r="B96" s="295"/>
      <c r="C96" s="133" t="s">
        <v>225</v>
      </c>
      <c r="D96" s="292"/>
      <c r="E96" s="190">
        <v>1</v>
      </c>
      <c r="F96" s="251" t="s">
        <v>15</v>
      </c>
      <c r="G96" s="252">
        <v>1</v>
      </c>
      <c r="H96" s="252">
        <v>30</v>
      </c>
      <c r="I96" s="252">
        <v>30</v>
      </c>
      <c r="J96" s="253">
        <f t="shared" si="49"/>
        <v>17106341.849999998</v>
      </c>
      <c r="K96" s="253">
        <f t="shared" si="50"/>
        <v>5400</v>
      </c>
      <c r="L96" s="147">
        <v>0.08</v>
      </c>
      <c r="M96" s="210">
        <f t="shared" si="51"/>
        <v>1368939.3479999998</v>
      </c>
      <c r="N96" s="148">
        <f t="shared" si="40"/>
        <v>18480681.197999999</v>
      </c>
      <c r="O96" s="148">
        <f t="shared" si="37"/>
        <v>1848068.1198</v>
      </c>
      <c r="P96" s="148">
        <f t="shared" si="38"/>
        <v>351132.94276200002</v>
      </c>
      <c r="Q96" s="148">
        <f t="shared" si="39"/>
        <v>18831814.140761998</v>
      </c>
      <c r="R96" s="205">
        <v>3</v>
      </c>
      <c r="S96" s="157">
        <f t="shared" si="52"/>
        <v>1055977.3</v>
      </c>
      <c r="T96" s="150">
        <f t="shared" si="53"/>
        <v>17775836.840761997</v>
      </c>
      <c r="U96" s="151"/>
      <c r="V96" s="134"/>
      <c r="W96" s="134"/>
      <c r="X96" s="134"/>
    </row>
    <row r="97" spans="1:24" s="135" customFormat="1" ht="15" customHeight="1" x14ac:dyDescent="0.25">
      <c r="B97" s="295"/>
      <c r="C97" s="133" t="s">
        <v>225</v>
      </c>
      <c r="D97" s="158" t="s">
        <v>216</v>
      </c>
      <c r="E97" s="190">
        <v>1</v>
      </c>
      <c r="F97" s="251" t="s">
        <v>15</v>
      </c>
      <c r="G97" s="252">
        <v>1</v>
      </c>
      <c r="H97" s="252">
        <v>30</v>
      </c>
      <c r="I97" s="252">
        <v>30</v>
      </c>
      <c r="J97" s="253">
        <f t="shared" si="49"/>
        <v>17106341.849999998</v>
      </c>
      <c r="K97" s="253">
        <f t="shared" si="50"/>
        <v>5400</v>
      </c>
      <c r="L97" s="147">
        <v>0.08</v>
      </c>
      <c r="M97" s="210">
        <f t="shared" si="51"/>
        <v>1368939.3479999998</v>
      </c>
      <c r="N97" s="148">
        <f t="shared" si="40"/>
        <v>18480681.197999999</v>
      </c>
      <c r="O97" s="148">
        <f t="shared" si="37"/>
        <v>1848068.1198</v>
      </c>
      <c r="P97" s="148">
        <f t="shared" si="38"/>
        <v>351132.94276200002</v>
      </c>
      <c r="Q97" s="148">
        <f t="shared" si="39"/>
        <v>18831814.140761998</v>
      </c>
      <c r="R97" s="205">
        <v>3</v>
      </c>
      <c r="S97" s="157">
        <f t="shared" si="52"/>
        <v>1055977.3</v>
      </c>
      <c r="T97" s="150">
        <f t="shared" si="53"/>
        <v>17775836.840761997</v>
      </c>
      <c r="U97" s="151"/>
      <c r="V97" s="134"/>
      <c r="W97" s="134"/>
      <c r="X97" s="134"/>
    </row>
    <row r="98" spans="1:24" s="135" customFormat="1" ht="15" customHeight="1" x14ac:dyDescent="0.25">
      <c r="B98" s="295"/>
      <c r="C98" s="133" t="s">
        <v>225</v>
      </c>
      <c r="D98" s="161" t="s">
        <v>208</v>
      </c>
      <c r="E98" s="190">
        <v>1</v>
      </c>
      <c r="F98" s="251" t="s">
        <v>15</v>
      </c>
      <c r="G98" s="252">
        <v>1</v>
      </c>
      <c r="H98" s="252">
        <v>30</v>
      </c>
      <c r="I98" s="252">
        <v>30</v>
      </c>
      <c r="J98" s="253">
        <f t="shared" si="49"/>
        <v>17106341.849999998</v>
      </c>
      <c r="K98" s="253">
        <f t="shared" si="50"/>
        <v>5400</v>
      </c>
      <c r="L98" s="147">
        <v>0.08</v>
      </c>
      <c r="M98" s="210">
        <f t="shared" si="51"/>
        <v>1368939.3479999998</v>
      </c>
      <c r="N98" s="148">
        <f t="shared" si="40"/>
        <v>18480681.197999999</v>
      </c>
      <c r="O98" s="148">
        <f t="shared" si="37"/>
        <v>1848068.1198</v>
      </c>
      <c r="P98" s="148">
        <f t="shared" si="38"/>
        <v>351132.94276200002</v>
      </c>
      <c r="Q98" s="148">
        <f t="shared" si="39"/>
        <v>18831814.140761998</v>
      </c>
      <c r="R98" s="205">
        <v>3</v>
      </c>
      <c r="S98" s="157">
        <f t="shared" si="52"/>
        <v>1055977.3</v>
      </c>
      <c r="T98" s="150">
        <f t="shared" si="53"/>
        <v>17775836.840761997</v>
      </c>
      <c r="U98" s="151"/>
      <c r="V98" s="134"/>
      <c r="W98" s="134"/>
      <c r="X98" s="134"/>
    </row>
    <row r="99" spans="1:24" s="135" customFormat="1" ht="15" customHeight="1" x14ac:dyDescent="0.25">
      <c r="B99" s="295"/>
      <c r="C99" s="133" t="s">
        <v>225</v>
      </c>
      <c r="D99" s="158" t="s">
        <v>226</v>
      </c>
      <c r="E99" s="190">
        <v>1</v>
      </c>
      <c r="F99" s="251" t="s">
        <v>15</v>
      </c>
      <c r="G99" s="252">
        <v>1</v>
      </c>
      <c r="H99" s="252">
        <v>30</v>
      </c>
      <c r="I99" s="252">
        <v>30</v>
      </c>
      <c r="J99" s="253">
        <f t="shared" si="49"/>
        <v>17106341.849999998</v>
      </c>
      <c r="K99" s="253">
        <f t="shared" si="50"/>
        <v>5400</v>
      </c>
      <c r="L99" s="147">
        <v>0.08</v>
      </c>
      <c r="M99" s="210">
        <f t="shared" si="51"/>
        <v>1368939.3479999998</v>
      </c>
      <c r="N99" s="148">
        <f t="shared" si="40"/>
        <v>18480681.197999999</v>
      </c>
      <c r="O99" s="148">
        <f t="shared" si="37"/>
        <v>1848068.1198</v>
      </c>
      <c r="P99" s="148">
        <f t="shared" si="38"/>
        <v>351132.94276200002</v>
      </c>
      <c r="Q99" s="148">
        <f t="shared" si="39"/>
        <v>18831814.140761998</v>
      </c>
      <c r="R99" s="205">
        <v>3</v>
      </c>
      <c r="S99" s="157">
        <f t="shared" si="52"/>
        <v>1055977.3</v>
      </c>
      <c r="T99" s="150">
        <f t="shared" si="53"/>
        <v>17775836.840761997</v>
      </c>
      <c r="U99" s="151"/>
      <c r="V99" s="134"/>
      <c r="W99" s="134"/>
      <c r="X99" s="134"/>
    </row>
    <row r="100" spans="1:24" s="135" customFormat="1" ht="15" customHeight="1" x14ac:dyDescent="0.25">
      <c r="B100" s="295"/>
      <c r="C100" s="133" t="s">
        <v>225</v>
      </c>
      <c r="D100" s="158" t="s">
        <v>227</v>
      </c>
      <c r="E100" s="190">
        <v>1</v>
      </c>
      <c r="F100" s="251" t="s">
        <v>15</v>
      </c>
      <c r="G100" s="252">
        <v>1</v>
      </c>
      <c r="H100" s="252">
        <v>30</v>
      </c>
      <c r="I100" s="252">
        <v>30</v>
      </c>
      <c r="J100" s="253">
        <f t="shared" si="49"/>
        <v>17106341.849999998</v>
      </c>
      <c r="K100" s="253">
        <f t="shared" si="50"/>
        <v>5400</v>
      </c>
      <c r="L100" s="147">
        <v>0.08</v>
      </c>
      <c r="M100" s="210">
        <f t="shared" si="51"/>
        <v>1368939.3479999998</v>
      </c>
      <c r="N100" s="148">
        <f t="shared" si="40"/>
        <v>18480681.197999999</v>
      </c>
      <c r="O100" s="148">
        <f t="shared" si="37"/>
        <v>1848068.1198</v>
      </c>
      <c r="P100" s="148">
        <f t="shared" si="38"/>
        <v>351132.94276200002</v>
      </c>
      <c r="Q100" s="148">
        <f t="shared" si="39"/>
        <v>18831814.140761998</v>
      </c>
      <c r="R100" s="205">
        <v>3</v>
      </c>
      <c r="S100" s="157">
        <f t="shared" si="52"/>
        <v>1055977.3</v>
      </c>
      <c r="T100" s="150">
        <f t="shared" si="53"/>
        <v>17775836.840761997</v>
      </c>
      <c r="U100" s="151"/>
      <c r="V100" s="134"/>
      <c r="W100" s="134"/>
      <c r="X100" s="134"/>
    </row>
    <row r="101" spans="1:24" s="135" customFormat="1" ht="15" customHeight="1" x14ac:dyDescent="0.25">
      <c r="B101" s="295"/>
      <c r="C101" s="133" t="s">
        <v>225</v>
      </c>
      <c r="D101" s="158" t="s">
        <v>228</v>
      </c>
      <c r="E101" s="190">
        <v>1</v>
      </c>
      <c r="F101" s="251" t="s">
        <v>15</v>
      </c>
      <c r="G101" s="252">
        <v>1</v>
      </c>
      <c r="H101" s="252">
        <v>30</v>
      </c>
      <c r="I101" s="252">
        <v>30</v>
      </c>
      <c r="J101" s="253">
        <f t="shared" si="49"/>
        <v>17106341.849999998</v>
      </c>
      <c r="K101" s="253">
        <f t="shared" si="50"/>
        <v>5400</v>
      </c>
      <c r="L101" s="147">
        <v>0.08</v>
      </c>
      <c r="M101" s="210">
        <f t="shared" si="51"/>
        <v>1368939.3479999998</v>
      </c>
      <c r="N101" s="148">
        <f t="shared" si="40"/>
        <v>18480681.197999999</v>
      </c>
      <c r="O101" s="148">
        <f t="shared" si="37"/>
        <v>1848068.1198</v>
      </c>
      <c r="P101" s="148">
        <f t="shared" si="38"/>
        <v>351132.94276200002</v>
      </c>
      <c r="Q101" s="148">
        <f t="shared" si="39"/>
        <v>18831814.140761998</v>
      </c>
      <c r="R101" s="205">
        <v>1</v>
      </c>
      <c r="S101" s="157">
        <f t="shared" si="52"/>
        <v>351992.43333333335</v>
      </c>
      <c r="T101" s="150">
        <f t="shared" si="53"/>
        <v>18479821.707428664</v>
      </c>
      <c r="U101" s="151"/>
      <c r="V101" s="134"/>
      <c r="W101" s="134"/>
      <c r="X101" s="134"/>
    </row>
    <row r="102" spans="1:24" s="135" customFormat="1" ht="15" customHeight="1" x14ac:dyDescent="0.25">
      <c r="B102" s="295"/>
      <c r="C102" s="133" t="s">
        <v>225</v>
      </c>
      <c r="D102" s="158" t="s">
        <v>209</v>
      </c>
      <c r="E102" s="190">
        <v>1</v>
      </c>
      <c r="F102" s="251" t="s">
        <v>15</v>
      </c>
      <c r="G102" s="252">
        <v>1</v>
      </c>
      <c r="H102" s="252">
        <v>30</v>
      </c>
      <c r="I102" s="252">
        <v>30</v>
      </c>
      <c r="J102" s="253">
        <f t="shared" si="49"/>
        <v>17106341.849999998</v>
      </c>
      <c r="K102" s="253">
        <f t="shared" si="50"/>
        <v>5400</v>
      </c>
      <c r="L102" s="147">
        <v>0.08</v>
      </c>
      <c r="M102" s="210">
        <f t="shared" si="51"/>
        <v>1368939.3479999998</v>
      </c>
      <c r="N102" s="148">
        <f t="shared" si="40"/>
        <v>18480681.197999999</v>
      </c>
      <c r="O102" s="148">
        <f t="shared" si="37"/>
        <v>1848068.1198</v>
      </c>
      <c r="P102" s="148">
        <f t="shared" si="38"/>
        <v>351132.94276200002</v>
      </c>
      <c r="Q102" s="148">
        <f t="shared" si="39"/>
        <v>18831814.140761998</v>
      </c>
      <c r="R102" s="205"/>
      <c r="S102" s="157"/>
      <c r="T102" s="150">
        <f t="shared" si="53"/>
        <v>18831814.140761998</v>
      </c>
      <c r="U102" s="151"/>
      <c r="V102" s="134"/>
      <c r="W102" s="134"/>
      <c r="X102" s="134"/>
    </row>
    <row r="103" spans="1:24" s="135" customFormat="1" ht="15" customHeight="1" x14ac:dyDescent="0.25">
      <c r="B103" s="295"/>
      <c r="C103" s="133" t="s">
        <v>225</v>
      </c>
      <c r="D103" s="158" t="s">
        <v>210</v>
      </c>
      <c r="E103" s="190">
        <v>1</v>
      </c>
      <c r="F103" s="251" t="s">
        <v>15</v>
      </c>
      <c r="G103" s="252">
        <v>1</v>
      </c>
      <c r="H103" s="252">
        <v>30</v>
      </c>
      <c r="I103" s="252">
        <v>30</v>
      </c>
      <c r="J103" s="253">
        <f t="shared" si="49"/>
        <v>17106341.849999998</v>
      </c>
      <c r="K103" s="253">
        <f t="shared" si="50"/>
        <v>5400</v>
      </c>
      <c r="L103" s="147">
        <v>0.08</v>
      </c>
      <c r="M103" s="210">
        <f t="shared" si="51"/>
        <v>1368939.3479999998</v>
      </c>
      <c r="N103" s="148">
        <f t="shared" si="40"/>
        <v>18480681.197999999</v>
      </c>
      <c r="O103" s="148">
        <f t="shared" si="37"/>
        <v>1848068.1198</v>
      </c>
      <c r="P103" s="148">
        <f t="shared" si="38"/>
        <v>351132.94276200002</v>
      </c>
      <c r="Q103" s="148">
        <f t="shared" si="39"/>
        <v>18831814.140761998</v>
      </c>
      <c r="R103" s="205"/>
      <c r="S103" s="157"/>
      <c r="T103" s="150">
        <f t="shared" si="53"/>
        <v>18831814.140761998</v>
      </c>
      <c r="U103" s="151"/>
      <c r="V103" s="134"/>
      <c r="W103" s="134"/>
      <c r="X103" s="134"/>
    </row>
    <row r="104" spans="1:24" s="135" customFormat="1" ht="15" customHeight="1" x14ac:dyDescent="0.25">
      <c r="B104" s="295"/>
      <c r="C104" s="133" t="s">
        <v>225</v>
      </c>
      <c r="D104" s="158" t="s">
        <v>211</v>
      </c>
      <c r="E104" s="190">
        <v>1</v>
      </c>
      <c r="F104" s="251" t="s">
        <v>15</v>
      </c>
      <c r="G104" s="252">
        <v>1</v>
      </c>
      <c r="H104" s="252">
        <v>30</v>
      </c>
      <c r="I104" s="252">
        <v>30</v>
      </c>
      <c r="J104" s="253">
        <f t="shared" si="49"/>
        <v>17106341.849999998</v>
      </c>
      <c r="K104" s="253">
        <f t="shared" si="50"/>
        <v>5400</v>
      </c>
      <c r="L104" s="147">
        <v>0.08</v>
      </c>
      <c r="M104" s="210">
        <f t="shared" si="51"/>
        <v>1368939.3479999998</v>
      </c>
      <c r="N104" s="148">
        <f t="shared" si="40"/>
        <v>18480681.197999999</v>
      </c>
      <c r="O104" s="148">
        <f t="shared" si="37"/>
        <v>1848068.1198</v>
      </c>
      <c r="P104" s="148">
        <f t="shared" si="38"/>
        <v>351132.94276200002</v>
      </c>
      <c r="Q104" s="148">
        <f t="shared" si="39"/>
        <v>18831814.140761998</v>
      </c>
      <c r="R104" s="205"/>
      <c r="S104" s="157"/>
      <c r="T104" s="150">
        <f t="shared" si="53"/>
        <v>18831814.140761998</v>
      </c>
      <c r="U104" s="151"/>
      <c r="V104" s="134"/>
      <c r="W104" s="134"/>
      <c r="X104" s="134"/>
    </row>
    <row r="105" spans="1:24" s="135" customFormat="1" ht="15" customHeight="1" x14ac:dyDescent="0.25">
      <c r="B105" s="295"/>
      <c r="C105" s="133" t="s">
        <v>225</v>
      </c>
      <c r="D105" s="158" t="s">
        <v>212</v>
      </c>
      <c r="E105" s="190">
        <v>1</v>
      </c>
      <c r="F105" s="251" t="s">
        <v>15</v>
      </c>
      <c r="G105" s="252">
        <v>1</v>
      </c>
      <c r="H105" s="252">
        <v>30</v>
      </c>
      <c r="I105" s="252">
        <v>30</v>
      </c>
      <c r="J105" s="253">
        <f t="shared" si="49"/>
        <v>17106341.849999998</v>
      </c>
      <c r="K105" s="253">
        <f t="shared" si="50"/>
        <v>5400</v>
      </c>
      <c r="L105" s="147">
        <v>0.08</v>
      </c>
      <c r="M105" s="210">
        <f t="shared" si="51"/>
        <v>1368939.3479999998</v>
      </c>
      <c r="N105" s="148">
        <f t="shared" si="40"/>
        <v>18480681.197999999</v>
      </c>
      <c r="O105" s="148">
        <f t="shared" si="37"/>
        <v>1848068.1198</v>
      </c>
      <c r="P105" s="148">
        <f t="shared" si="38"/>
        <v>351132.94276200002</v>
      </c>
      <c r="Q105" s="148">
        <f t="shared" si="39"/>
        <v>18831814.140761998</v>
      </c>
      <c r="R105" s="205"/>
      <c r="S105" s="157"/>
      <c r="T105" s="150">
        <f t="shared" si="53"/>
        <v>18831814.140761998</v>
      </c>
      <c r="U105" s="151"/>
      <c r="V105" s="134"/>
      <c r="W105" s="134"/>
      <c r="X105" s="134"/>
    </row>
    <row r="106" spans="1:24" s="135" customFormat="1" ht="15" customHeight="1" x14ac:dyDescent="0.25">
      <c r="B106" s="295"/>
      <c r="C106" s="133" t="s">
        <v>225</v>
      </c>
      <c r="D106" s="158" t="s">
        <v>213</v>
      </c>
      <c r="E106" s="190">
        <v>1</v>
      </c>
      <c r="F106" s="251" t="s">
        <v>15</v>
      </c>
      <c r="G106" s="252">
        <v>1</v>
      </c>
      <c r="H106" s="252">
        <v>30</v>
      </c>
      <c r="I106" s="252">
        <v>30</v>
      </c>
      <c r="J106" s="253">
        <f t="shared" si="49"/>
        <v>17106341.849999998</v>
      </c>
      <c r="K106" s="253">
        <f t="shared" si="50"/>
        <v>5400</v>
      </c>
      <c r="L106" s="147">
        <v>0.08</v>
      </c>
      <c r="M106" s="210">
        <f t="shared" si="51"/>
        <v>1368939.3479999998</v>
      </c>
      <c r="N106" s="148">
        <f t="shared" si="40"/>
        <v>18480681.197999999</v>
      </c>
      <c r="O106" s="148">
        <f t="shared" si="37"/>
        <v>1848068.1198</v>
      </c>
      <c r="P106" s="148">
        <f t="shared" si="38"/>
        <v>351132.94276200002</v>
      </c>
      <c r="Q106" s="148">
        <f t="shared" si="39"/>
        <v>18831814.140761998</v>
      </c>
      <c r="R106" s="205"/>
      <c r="S106" s="157"/>
      <c r="T106" s="150">
        <f t="shared" si="53"/>
        <v>18831814.140761998</v>
      </c>
      <c r="U106" s="151"/>
      <c r="V106" s="134"/>
      <c r="W106" s="134"/>
      <c r="X106" s="134"/>
    </row>
    <row r="107" spans="1:24" s="135" customFormat="1" ht="15" customHeight="1" x14ac:dyDescent="0.25">
      <c r="B107" s="295"/>
      <c r="C107" s="133" t="s">
        <v>225</v>
      </c>
      <c r="D107" s="158" t="s">
        <v>214</v>
      </c>
      <c r="E107" s="190">
        <v>1</v>
      </c>
      <c r="F107" s="251" t="s">
        <v>15</v>
      </c>
      <c r="G107" s="252">
        <v>1</v>
      </c>
      <c r="H107" s="252">
        <v>30</v>
      </c>
      <c r="I107" s="252">
        <v>30</v>
      </c>
      <c r="J107" s="253">
        <f t="shared" si="49"/>
        <v>17106341.849999998</v>
      </c>
      <c r="K107" s="253">
        <f t="shared" si="50"/>
        <v>5400</v>
      </c>
      <c r="L107" s="147">
        <v>0.08</v>
      </c>
      <c r="M107" s="210">
        <f t="shared" si="51"/>
        <v>1368939.3479999998</v>
      </c>
      <c r="N107" s="148">
        <f t="shared" si="40"/>
        <v>18480681.197999999</v>
      </c>
      <c r="O107" s="148">
        <f t="shared" si="37"/>
        <v>1848068.1198</v>
      </c>
      <c r="P107" s="148">
        <f t="shared" si="38"/>
        <v>351132.94276200002</v>
      </c>
      <c r="Q107" s="148">
        <f t="shared" si="39"/>
        <v>18831814.140761998</v>
      </c>
      <c r="R107" s="205"/>
      <c r="S107" s="157"/>
      <c r="T107" s="150">
        <f t="shared" si="53"/>
        <v>18831814.140761998</v>
      </c>
      <c r="U107" s="151"/>
      <c r="V107" s="134"/>
      <c r="W107" s="134"/>
      <c r="X107" s="134"/>
    </row>
    <row r="108" spans="1:24" x14ac:dyDescent="0.25">
      <c r="B108" s="128"/>
      <c r="C108" s="130"/>
      <c r="D108" s="153"/>
      <c r="E108" s="191">
        <f>+SUM(E29:E107)</f>
        <v>81</v>
      </c>
      <c r="F108" s="153"/>
      <c r="G108" s="196">
        <f>SUM(G29:G107)</f>
        <v>81</v>
      </c>
      <c r="H108" s="196"/>
      <c r="I108" s="191"/>
      <c r="J108" s="154">
        <f>SUM(J29:J107)</f>
        <v>1150459591.9599049</v>
      </c>
      <c r="K108" s="154"/>
      <c r="L108" s="154"/>
      <c r="M108" s="211">
        <f t="shared" ref="M108:T108" si="54">SUM(M29:M107)</f>
        <v>92068245.756792367</v>
      </c>
      <c r="N108" s="154">
        <f t="shared" si="54"/>
        <v>1242921317.7166955</v>
      </c>
      <c r="O108" s="154">
        <f t="shared" si="54"/>
        <v>124292131.77166976</v>
      </c>
      <c r="P108" s="154">
        <f t="shared" si="54"/>
        <v>23615505.036617223</v>
      </c>
      <c r="Q108" s="154">
        <f t="shared" si="54"/>
        <v>1266536822.753314</v>
      </c>
      <c r="R108" s="196">
        <f t="shared" si="54"/>
        <v>62</v>
      </c>
      <c r="S108" s="211">
        <f t="shared" si="54"/>
        <v>20528271.966666672</v>
      </c>
      <c r="T108" s="154">
        <f t="shared" si="54"/>
        <v>1246008550.7866473</v>
      </c>
      <c r="U108" s="162"/>
    </row>
    <row r="109" spans="1:24" s="135" customFormat="1" ht="15" customHeight="1" x14ac:dyDescent="0.25">
      <c r="A109"/>
      <c r="B109" s="293" t="s">
        <v>82</v>
      </c>
      <c r="C109" s="133" t="s">
        <v>225</v>
      </c>
      <c r="D109" s="161" t="s">
        <v>245</v>
      </c>
      <c r="E109" s="190">
        <v>1</v>
      </c>
      <c r="F109" s="251" t="s">
        <v>17</v>
      </c>
      <c r="G109" s="252">
        <v>1</v>
      </c>
      <c r="H109" s="252">
        <v>30</v>
      </c>
      <c r="I109" s="252">
        <v>24</v>
      </c>
      <c r="J109" s="253">
        <f t="shared" ref="J109:J112" si="55">+(((((1750905*9.77)*47.59%)/13*12)/30)*I109)*E109</f>
        <v>6011747.5099679995</v>
      </c>
      <c r="K109" s="253">
        <f t="shared" ref="K109:K112" si="56">1800*2</f>
        <v>3600</v>
      </c>
      <c r="L109" s="147">
        <v>0.08</v>
      </c>
      <c r="M109" s="210">
        <f t="shared" ref="M109:M112" si="57">(J109+K109)*L109</f>
        <v>481227.80079744</v>
      </c>
      <c r="N109" s="148">
        <f t="shared" si="40"/>
        <v>6496575.3107654396</v>
      </c>
      <c r="O109" s="148">
        <f t="shared" ref="O109:O126" si="58">N109*10%</f>
        <v>649657.53107654396</v>
      </c>
      <c r="P109" s="148">
        <f t="shared" ref="P109:P126" si="59">+O109*19%</f>
        <v>123434.93090454335</v>
      </c>
      <c r="Q109" s="148">
        <f t="shared" ref="Q109:Q125" si="60">N109+P109</f>
        <v>6620010.2416699827</v>
      </c>
      <c r="R109" s="205"/>
      <c r="S109" s="157"/>
      <c r="T109" s="150">
        <f t="shared" ref="T109:T143" si="61">Q109-S109</f>
        <v>6620010.2416699827</v>
      </c>
      <c r="U109" s="151"/>
      <c r="V109" s="134"/>
      <c r="W109" s="134"/>
      <c r="X109" s="134"/>
    </row>
    <row r="110" spans="1:24" s="135" customFormat="1" x14ac:dyDescent="0.25">
      <c r="A110"/>
      <c r="B110" s="294"/>
      <c r="C110" s="133" t="s">
        <v>225</v>
      </c>
      <c r="D110" s="161" t="s">
        <v>246</v>
      </c>
      <c r="E110" s="190">
        <v>1</v>
      </c>
      <c r="F110" s="251" t="s">
        <v>17</v>
      </c>
      <c r="G110" s="252">
        <v>1</v>
      </c>
      <c r="H110" s="252">
        <v>30</v>
      </c>
      <c r="I110" s="252">
        <v>24</v>
      </c>
      <c r="J110" s="253">
        <f t="shared" si="55"/>
        <v>6011747.5099679995</v>
      </c>
      <c r="K110" s="253">
        <f t="shared" si="56"/>
        <v>3600</v>
      </c>
      <c r="L110" s="147">
        <v>0.08</v>
      </c>
      <c r="M110" s="210">
        <f t="shared" si="57"/>
        <v>481227.80079744</v>
      </c>
      <c r="N110" s="148">
        <f t="shared" si="40"/>
        <v>6496575.3107654396</v>
      </c>
      <c r="O110" s="148">
        <f t="shared" si="58"/>
        <v>649657.53107654396</v>
      </c>
      <c r="P110" s="148">
        <f t="shared" si="59"/>
        <v>123434.93090454335</v>
      </c>
      <c r="Q110" s="148">
        <f t="shared" si="60"/>
        <v>6620010.2416699827</v>
      </c>
      <c r="R110" s="205"/>
      <c r="S110" s="157"/>
      <c r="T110" s="150">
        <f t="shared" si="61"/>
        <v>6620010.2416699827</v>
      </c>
      <c r="U110" s="151"/>
      <c r="V110" s="134"/>
      <c r="W110" s="134"/>
      <c r="X110" s="134"/>
    </row>
    <row r="111" spans="1:24" s="135" customFormat="1" x14ac:dyDescent="0.25">
      <c r="A111"/>
      <c r="B111" s="294"/>
      <c r="C111" s="133" t="s">
        <v>225</v>
      </c>
      <c r="D111" s="161" t="s">
        <v>247</v>
      </c>
      <c r="E111" s="190">
        <v>1</v>
      </c>
      <c r="F111" s="251" t="s">
        <v>17</v>
      </c>
      <c r="G111" s="252">
        <v>1</v>
      </c>
      <c r="H111" s="252">
        <v>30</v>
      </c>
      <c r="I111" s="252">
        <v>24</v>
      </c>
      <c r="J111" s="253">
        <f t="shared" si="55"/>
        <v>6011747.5099679995</v>
      </c>
      <c r="K111" s="253">
        <f t="shared" si="56"/>
        <v>3600</v>
      </c>
      <c r="L111" s="147">
        <v>0.08</v>
      </c>
      <c r="M111" s="210">
        <f t="shared" si="57"/>
        <v>481227.80079744</v>
      </c>
      <c r="N111" s="148">
        <f t="shared" si="40"/>
        <v>6496575.3107654396</v>
      </c>
      <c r="O111" s="148">
        <f t="shared" si="58"/>
        <v>649657.53107654396</v>
      </c>
      <c r="P111" s="148">
        <f t="shared" si="59"/>
        <v>123434.93090454335</v>
      </c>
      <c r="Q111" s="148">
        <f t="shared" si="60"/>
        <v>6620010.2416699827</v>
      </c>
      <c r="R111" s="205"/>
      <c r="S111" s="157"/>
      <c r="T111" s="150">
        <f t="shared" si="61"/>
        <v>6620010.2416699827</v>
      </c>
      <c r="U111" s="151"/>
      <c r="V111" s="134"/>
      <c r="W111" s="134"/>
      <c r="X111" s="134"/>
    </row>
    <row r="112" spans="1:24" s="135" customFormat="1" x14ac:dyDescent="0.25">
      <c r="A112"/>
      <c r="B112" s="294"/>
      <c r="C112" s="133" t="s">
        <v>225</v>
      </c>
      <c r="D112" s="161" t="s">
        <v>248</v>
      </c>
      <c r="E112" s="190">
        <v>1</v>
      </c>
      <c r="F112" s="251" t="s">
        <v>17</v>
      </c>
      <c r="G112" s="252">
        <v>1</v>
      </c>
      <c r="H112" s="252">
        <v>30</v>
      </c>
      <c r="I112" s="252">
        <v>24</v>
      </c>
      <c r="J112" s="253">
        <f t="shared" si="55"/>
        <v>6011747.5099679995</v>
      </c>
      <c r="K112" s="253">
        <f t="shared" si="56"/>
        <v>3600</v>
      </c>
      <c r="L112" s="147">
        <v>0.08</v>
      </c>
      <c r="M112" s="210">
        <f t="shared" si="57"/>
        <v>481227.80079744</v>
      </c>
      <c r="N112" s="148">
        <f t="shared" si="40"/>
        <v>6496575.3107654396</v>
      </c>
      <c r="O112" s="148">
        <f t="shared" si="58"/>
        <v>649657.53107654396</v>
      </c>
      <c r="P112" s="148">
        <f t="shared" si="59"/>
        <v>123434.93090454335</v>
      </c>
      <c r="Q112" s="148">
        <f t="shared" si="60"/>
        <v>6620010.2416699827</v>
      </c>
      <c r="R112" s="205"/>
      <c r="S112" s="157"/>
      <c r="T112" s="150">
        <f t="shared" si="61"/>
        <v>6620010.2416699827</v>
      </c>
      <c r="U112" s="151"/>
      <c r="V112" s="134"/>
      <c r="W112" s="134"/>
      <c r="X112" s="134"/>
    </row>
    <row r="113" spans="1:24" x14ac:dyDescent="0.25">
      <c r="B113" s="295"/>
      <c r="C113" s="131" t="s">
        <v>225</v>
      </c>
      <c r="D113" s="163" t="s">
        <v>31</v>
      </c>
      <c r="E113" s="132">
        <v>1</v>
      </c>
      <c r="F113" s="257" t="s">
        <v>19</v>
      </c>
      <c r="G113" s="258">
        <v>1</v>
      </c>
      <c r="H113" s="252">
        <v>30</v>
      </c>
      <c r="I113" s="252">
        <v>24</v>
      </c>
      <c r="J113" s="253">
        <f>+(((((1750905*9.77)*47.59%)/13*13)/30)*I113)*E113+(((((1750905*9.77))*52.41%)/11*1)/30*I113)</f>
        <v>7164758.0155745447</v>
      </c>
      <c r="K113" s="253">
        <f>1800*2</f>
        <v>3600</v>
      </c>
      <c r="L113" s="155">
        <v>0.08</v>
      </c>
      <c r="M113" s="210">
        <f>(J113+K113)*L113</f>
        <v>573468.64124596363</v>
      </c>
      <c r="N113" s="148">
        <f t="shared" si="40"/>
        <v>7741826.6568205087</v>
      </c>
      <c r="O113" s="156">
        <f t="shared" si="58"/>
        <v>774182.66568205087</v>
      </c>
      <c r="P113" s="156">
        <f t="shared" si="59"/>
        <v>147094.70647958966</v>
      </c>
      <c r="Q113" s="156">
        <f t="shared" si="60"/>
        <v>7888921.3633000981</v>
      </c>
      <c r="R113" s="206"/>
      <c r="S113" s="216"/>
      <c r="T113" s="150">
        <f t="shared" si="61"/>
        <v>7888921.3633000981</v>
      </c>
    </row>
    <row r="114" spans="1:24" s="135" customFormat="1" x14ac:dyDescent="0.25">
      <c r="A114"/>
      <c r="B114" s="295"/>
      <c r="C114" s="133" t="s">
        <v>225</v>
      </c>
      <c r="D114" s="161" t="s">
        <v>249</v>
      </c>
      <c r="E114" s="190">
        <v>1</v>
      </c>
      <c r="F114" s="251" t="s">
        <v>15</v>
      </c>
      <c r="G114" s="252">
        <v>1</v>
      </c>
      <c r="H114" s="252">
        <v>30</v>
      </c>
      <c r="I114" s="252">
        <v>30</v>
      </c>
      <c r="J114" s="253">
        <f>+(((1750905*9.77)/30)*I114)*E114</f>
        <v>17106341.849999998</v>
      </c>
      <c r="K114" s="253">
        <f>1800*3/30*I114</f>
        <v>5400</v>
      </c>
      <c r="L114" s="147">
        <v>0.08</v>
      </c>
      <c r="M114" s="210">
        <f>(J114+K114)*L114</f>
        <v>1368939.3479999998</v>
      </c>
      <c r="N114" s="148">
        <f t="shared" si="40"/>
        <v>18480681.197999999</v>
      </c>
      <c r="O114" s="148">
        <f t="shared" si="58"/>
        <v>1848068.1198</v>
      </c>
      <c r="P114" s="148">
        <f t="shared" si="59"/>
        <v>351132.94276200002</v>
      </c>
      <c r="Q114" s="148">
        <f t="shared" si="60"/>
        <v>18831814.140761998</v>
      </c>
      <c r="R114" s="205"/>
      <c r="S114" s="157"/>
      <c r="T114" s="150">
        <f t="shared" si="61"/>
        <v>18831814.140761998</v>
      </c>
      <c r="U114" s="151"/>
      <c r="V114" s="134"/>
      <c r="W114" s="134"/>
      <c r="X114" s="134"/>
    </row>
    <row r="115" spans="1:24" s="135" customFormat="1" x14ac:dyDescent="0.25">
      <c r="A115"/>
      <c r="B115" s="295"/>
      <c r="C115" s="133" t="s">
        <v>225</v>
      </c>
      <c r="D115" s="161" t="s">
        <v>250</v>
      </c>
      <c r="E115" s="190">
        <v>1</v>
      </c>
      <c r="F115" s="251" t="s">
        <v>21</v>
      </c>
      <c r="G115" s="252">
        <v>1</v>
      </c>
      <c r="H115" s="252">
        <v>30</v>
      </c>
      <c r="I115" s="252">
        <v>24</v>
      </c>
      <c r="J115" s="254">
        <f>+(((((1750905*9.77)*47.59%)/13*8)/30)*I115)*E115</f>
        <v>4007831.673312</v>
      </c>
      <c r="K115" s="254">
        <f>1800*1</f>
        <v>1800</v>
      </c>
      <c r="L115" s="147">
        <v>0.08</v>
      </c>
      <c r="M115" s="208">
        <f>(J115+K115)*L115</f>
        <v>320770.53386496002</v>
      </c>
      <c r="N115" s="148">
        <f t="shared" si="40"/>
        <v>4330402.2071769601</v>
      </c>
      <c r="O115" s="148">
        <f t="shared" si="58"/>
        <v>433040.22071769601</v>
      </c>
      <c r="P115" s="148">
        <f t="shared" si="59"/>
        <v>82277.641936362241</v>
      </c>
      <c r="Q115" s="148">
        <f t="shared" si="60"/>
        <v>4412679.8491133219</v>
      </c>
      <c r="R115" s="205"/>
      <c r="S115" s="157"/>
      <c r="T115" s="150">
        <f t="shared" si="61"/>
        <v>4412679.8491133219</v>
      </c>
      <c r="U115" s="151"/>
      <c r="V115" s="134"/>
      <c r="W115" s="134"/>
      <c r="X115" s="134"/>
    </row>
    <row r="116" spans="1:24" s="135" customFormat="1" x14ac:dyDescent="0.25">
      <c r="A116"/>
      <c r="B116" s="295"/>
      <c r="C116" s="133" t="s">
        <v>225</v>
      </c>
      <c r="D116" s="161" t="s">
        <v>251</v>
      </c>
      <c r="E116" s="190">
        <v>1</v>
      </c>
      <c r="F116" s="251" t="s">
        <v>15</v>
      </c>
      <c r="G116" s="252">
        <v>1</v>
      </c>
      <c r="H116" s="252">
        <v>30</v>
      </c>
      <c r="I116" s="252">
        <v>30</v>
      </c>
      <c r="J116" s="253">
        <f>+(((1750905*9.77)/30)*I116)*E116</f>
        <v>17106341.849999998</v>
      </c>
      <c r="K116" s="253">
        <f>1800*3/30*I116</f>
        <v>5400</v>
      </c>
      <c r="L116" s="147">
        <v>0.08</v>
      </c>
      <c r="M116" s="210">
        <f>(J116+K116)*L116</f>
        <v>1368939.3479999998</v>
      </c>
      <c r="N116" s="148">
        <f t="shared" si="40"/>
        <v>18480681.197999999</v>
      </c>
      <c r="O116" s="148">
        <f t="shared" si="58"/>
        <v>1848068.1198</v>
      </c>
      <c r="P116" s="148">
        <f t="shared" si="59"/>
        <v>351132.94276200002</v>
      </c>
      <c r="Q116" s="148">
        <f t="shared" si="60"/>
        <v>18831814.140761998</v>
      </c>
      <c r="R116" s="205"/>
      <c r="S116" s="157"/>
      <c r="T116" s="150">
        <f t="shared" si="61"/>
        <v>18831814.140761998</v>
      </c>
      <c r="U116" s="151"/>
      <c r="V116" s="134"/>
      <c r="W116" s="134"/>
      <c r="X116" s="134"/>
    </row>
    <row r="117" spans="1:24" s="135" customFormat="1" x14ac:dyDescent="0.25">
      <c r="A117"/>
      <c r="B117" s="294"/>
      <c r="C117" s="133" t="s">
        <v>225</v>
      </c>
      <c r="D117" s="161" t="s">
        <v>252</v>
      </c>
      <c r="E117" s="190">
        <v>1</v>
      </c>
      <c r="F117" s="251" t="s">
        <v>17</v>
      </c>
      <c r="G117" s="252">
        <v>1</v>
      </c>
      <c r="H117" s="252">
        <v>30</v>
      </c>
      <c r="I117" s="252">
        <v>24</v>
      </c>
      <c r="J117" s="253">
        <f>+(((((1750905*9.77)*47.59%)/13*12)/30)*I117)*E117</f>
        <v>6011747.5099679995</v>
      </c>
      <c r="K117" s="253">
        <f>1800*2</f>
        <v>3600</v>
      </c>
      <c r="L117" s="147">
        <v>0.08</v>
      </c>
      <c r="M117" s="210">
        <f>(J117+K117)*L117</f>
        <v>481227.80079744</v>
      </c>
      <c r="N117" s="148">
        <f t="shared" si="40"/>
        <v>6496575.3107654396</v>
      </c>
      <c r="O117" s="148">
        <f t="shared" si="58"/>
        <v>649657.53107654396</v>
      </c>
      <c r="P117" s="148">
        <f t="shared" si="59"/>
        <v>123434.93090454335</v>
      </c>
      <c r="Q117" s="148">
        <f t="shared" si="60"/>
        <v>6620010.2416699827</v>
      </c>
      <c r="R117" s="205"/>
      <c r="S117" s="157"/>
      <c r="T117" s="150">
        <f t="shared" si="61"/>
        <v>6620010.2416699827</v>
      </c>
      <c r="U117" s="151"/>
      <c r="V117" s="134"/>
      <c r="W117" s="134"/>
      <c r="X117" s="134"/>
    </row>
    <row r="118" spans="1:24" s="135" customFormat="1" ht="14.25" customHeight="1" x14ac:dyDescent="0.25">
      <c r="A118"/>
      <c r="B118" s="295"/>
      <c r="C118" s="133"/>
      <c r="D118" s="244" t="s">
        <v>320</v>
      </c>
      <c r="E118" s="245">
        <v>1</v>
      </c>
      <c r="F118" s="263" t="s">
        <v>15</v>
      </c>
      <c r="G118" s="264">
        <v>1</v>
      </c>
      <c r="H118" s="252">
        <v>30</v>
      </c>
      <c r="I118" s="252">
        <v>30</v>
      </c>
      <c r="J118" s="253">
        <f t="shared" ref="J118:J122" si="62">+(((1750905*9.77)/30)*I118)*E118</f>
        <v>17106341.849999998</v>
      </c>
      <c r="K118" s="253">
        <f t="shared" ref="K118:K122" si="63">1800*3/30*I118</f>
        <v>5400</v>
      </c>
      <c r="L118" s="246">
        <v>0.08</v>
      </c>
      <c r="M118" s="210">
        <f t="shared" ref="M118:M122" si="64">(J118+K118)*L118</f>
        <v>1368939.3479999998</v>
      </c>
      <c r="N118" s="148">
        <f t="shared" si="40"/>
        <v>18480681.197999999</v>
      </c>
      <c r="O118" s="247">
        <f t="shared" si="58"/>
        <v>1848068.1198</v>
      </c>
      <c r="P118" s="247">
        <f t="shared" si="59"/>
        <v>351132.94276200002</v>
      </c>
      <c r="Q118" s="247">
        <f t="shared" si="60"/>
        <v>18831814.140761998</v>
      </c>
      <c r="R118" s="248"/>
      <c r="S118" s="249"/>
      <c r="T118" s="250">
        <f t="shared" si="61"/>
        <v>18831814.140761998</v>
      </c>
      <c r="U118" s="151"/>
      <c r="V118" s="134"/>
      <c r="W118" s="134"/>
      <c r="X118" s="134"/>
    </row>
    <row r="119" spans="1:24" s="135" customFormat="1" ht="30" x14ac:dyDescent="0.25">
      <c r="A119"/>
      <c r="B119" s="295"/>
      <c r="C119" s="133" t="s">
        <v>225</v>
      </c>
      <c r="D119" s="161" t="s">
        <v>279</v>
      </c>
      <c r="E119" s="190">
        <v>1</v>
      </c>
      <c r="F119" s="251" t="s">
        <v>15</v>
      </c>
      <c r="G119" s="252">
        <v>1</v>
      </c>
      <c r="H119" s="252">
        <v>30</v>
      </c>
      <c r="I119" s="252">
        <v>30</v>
      </c>
      <c r="J119" s="253">
        <f t="shared" si="62"/>
        <v>17106341.849999998</v>
      </c>
      <c r="K119" s="253">
        <f t="shared" si="63"/>
        <v>5400</v>
      </c>
      <c r="L119" s="147">
        <v>0.08</v>
      </c>
      <c r="M119" s="210">
        <f t="shared" si="64"/>
        <v>1368939.3479999998</v>
      </c>
      <c r="N119" s="148">
        <f t="shared" si="40"/>
        <v>18480681.197999999</v>
      </c>
      <c r="O119" s="148">
        <f t="shared" si="58"/>
        <v>1848068.1198</v>
      </c>
      <c r="P119" s="148">
        <f t="shared" si="59"/>
        <v>351132.94276200002</v>
      </c>
      <c r="Q119" s="148">
        <f t="shared" si="60"/>
        <v>18831814.140761998</v>
      </c>
      <c r="R119" s="205"/>
      <c r="S119" s="157"/>
      <c r="T119" s="150">
        <f t="shared" si="61"/>
        <v>18831814.140761998</v>
      </c>
      <c r="U119" s="151"/>
      <c r="V119" s="134"/>
      <c r="W119" s="134"/>
      <c r="X119" s="134"/>
    </row>
    <row r="120" spans="1:24" s="135" customFormat="1" x14ac:dyDescent="0.25">
      <c r="A120"/>
      <c r="B120" s="295"/>
      <c r="C120" s="133" t="s">
        <v>225</v>
      </c>
      <c r="D120" s="161" t="s">
        <v>280</v>
      </c>
      <c r="E120" s="190">
        <v>1</v>
      </c>
      <c r="F120" s="251" t="s">
        <v>15</v>
      </c>
      <c r="G120" s="252">
        <v>1</v>
      </c>
      <c r="H120" s="252">
        <v>30</v>
      </c>
      <c r="I120" s="252">
        <v>30</v>
      </c>
      <c r="J120" s="253">
        <f t="shared" si="62"/>
        <v>17106341.849999998</v>
      </c>
      <c r="K120" s="253">
        <f t="shared" si="63"/>
        <v>5400</v>
      </c>
      <c r="L120" s="147">
        <v>0.08</v>
      </c>
      <c r="M120" s="210">
        <f t="shared" si="64"/>
        <v>1368939.3479999998</v>
      </c>
      <c r="N120" s="148">
        <f t="shared" si="40"/>
        <v>18480681.197999999</v>
      </c>
      <c r="O120" s="148">
        <f t="shared" si="58"/>
        <v>1848068.1198</v>
      </c>
      <c r="P120" s="148">
        <f t="shared" si="59"/>
        <v>351132.94276200002</v>
      </c>
      <c r="Q120" s="148">
        <f t="shared" si="60"/>
        <v>18831814.140761998</v>
      </c>
      <c r="R120" s="205"/>
      <c r="S120" s="157"/>
      <c r="T120" s="150">
        <f t="shared" si="61"/>
        <v>18831814.140761998</v>
      </c>
      <c r="U120" s="151"/>
      <c r="V120" s="134"/>
      <c r="W120" s="134"/>
      <c r="X120" s="134"/>
    </row>
    <row r="121" spans="1:24" s="135" customFormat="1" x14ac:dyDescent="0.25">
      <c r="A121"/>
      <c r="B121" s="295"/>
      <c r="C121" s="133" t="s">
        <v>225</v>
      </c>
      <c r="D121" s="161" t="s">
        <v>281</v>
      </c>
      <c r="E121" s="190">
        <v>1</v>
      </c>
      <c r="F121" s="251" t="s">
        <v>15</v>
      </c>
      <c r="G121" s="252">
        <v>1</v>
      </c>
      <c r="H121" s="252">
        <v>30</v>
      </c>
      <c r="I121" s="252">
        <v>30</v>
      </c>
      <c r="J121" s="253">
        <f t="shared" si="62"/>
        <v>17106341.849999998</v>
      </c>
      <c r="K121" s="253">
        <f t="shared" si="63"/>
        <v>5400</v>
      </c>
      <c r="L121" s="147">
        <v>0.08</v>
      </c>
      <c r="M121" s="210">
        <f t="shared" si="64"/>
        <v>1368939.3479999998</v>
      </c>
      <c r="N121" s="148">
        <f t="shared" si="40"/>
        <v>18480681.197999999</v>
      </c>
      <c r="O121" s="148">
        <f t="shared" si="58"/>
        <v>1848068.1198</v>
      </c>
      <c r="P121" s="148">
        <f t="shared" si="59"/>
        <v>351132.94276200002</v>
      </c>
      <c r="Q121" s="148">
        <f t="shared" si="60"/>
        <v>18831814.140761998</v>
      </c>
      <c r="R121" s="205"/>
      <c r="S121" s="157"/>
      <c r="T121" s="150">
        <f t="shared" si="61"/>
        <v>18831814.140761998</v>
      </c>
      <c r="U121" s="151"/>
      <c r="V121" s="134"/>
      <c r="W121" s="134"/>
      <c r="X121" s="134"/>
    </row>
    <row r="122" spans="1:24" s="135" customFormat="1" x14ac:dyDescent="0.25">
      <c r="A122"/>
      <c r="B122" s="295"/>
      <c r="C122" s="133" t="s">
        <v>225</v>
      </c>
      <c r="D122" s="161" t="s">
        <v>282</v>
      </c>
      <c r="E122" s="190">
        <v>1</v>
      </c>
      <c r="F122" s="251" t="s">
        <v>15</v>
      </c>
      <c r="G122" s="252">
        <v>1</v>
      </c>
      <c r="H122" s="252">
        <v>30</v>
      </c>
      <c r="I122" s="252">
        <v>30</v>
      </c>
      <c r="J122" s="253">
        <f t="shared" si="62"/>
        <v>17106341.849999998</v>
      </c>
      <c r="K122" s="253">
        <f t="shared" si="63"/>
        <v>5400</v>
      </c>
      <c r="L122" s="147">
        <v>0.08</v>
      </c>
      <c r="M122" s="210">
        <f t="shared" si="64"/>
        <v>1368939.3479999998</v>
      </c>
      <c r="N122" s="148">
        <f t="shared" si="40"/>
        <v>18480681.197999999</v>
      </c>
      <c r="O122" s="148">
        <f t="shared" si="58"/>
        <v>1848068.1198</v>
      </c>
      <c r="P122" s="148">
        <f t="shared" si="59"/>
        <v>351132.94276200002</v>
      </c>
      <c r="Q122" s="148">
        <f t="shared" si="60"/>
        <v>18831814.140761998</v>
      </c>
      <c r="R122" s="205"/>
      <c r="S122" s="157"/>
      <c r="T122" s="150">
        <f t="shared" si="61"/>
        <v>18831814.140761998</v>
      </c>
      <c r="U122" s="151"/>
      <c r="V122" s="134"/>
      <c r="W122" s="134"/>
      <c r="X122" s="134"/>
    </row>
    <row r="123" spans="1:24" s="135" customFormat="1" x14ac:dyDescent="0.25">
      <c r="A123"/>
      <c r="B123" s="295"/>
      <c r="C123" s="133" t="s">
        <v>225</v>
      </c>
      <c r="D123" s="161" t="s">
        <v>283</v>
      </c>
      <c r="E123" s="190">
        <v>1</v>
      </c>
      <c r="F123" s="251" t="s">
        <v>16</v>
      </c>
      <c r="G123" s="252">
        <v>1</v>
      </c>
      <c r="H123" s="252">
        <v>30</v>
      </c>
      <c r="I123" s="252">
        <v>30</v>
      </c>
      <c r="J123" s="253">
        <f>+(((((1750905*9.77)*47.59%)/13*12)/30)*I123)*E123</f>
        <v>7514684.387459999</v>
      </c>
      <c r="K123" s="253">
        <f t="shared" ref="K123:K125" si="65">1800*2/30*I123</f>
        <v>3600</v>
      </c>
      <c r="L123" s="147">
        <v>0.08</v>
      </c>
      <c r="M123" s="210">
        <f t="shared" ref="M123:M125" si="66">(J123+K123)*L123</f>
        <v>601462.75099679991</v>
      </c>
      <c r="N123" s="148">
        <f t="shared" si="40"/>
        <v>8119747.1384567991</v>
      </c>
      <c r="O123" s="148">
        <f t="shared" si="58"/>
        <v>811974.71384568</v>
      </c>
      <c r="P123" s="148">
        <f t="shared" si="59"/>
        <v>154275.1956306792</v>
      </c>
      <c r="Q123" s="148">
        <f t="shared" si="60"/>
        <v>8274022.334087478</v>
      </c>
      <c r="R123" s="205"/>
      <c r="S123" s="157"/>
      <c r="T123" s="150">
        <f t="shared" si="61"/>
        <v>8274022.334087478</v>
      </c>
      <c r="U123" s="152"/>
      <c r="V123" s="134"/>
      <c r="W123" s="134"/>
      <c r="X123" s="134"/>
    </row>
    <row r="124" spans="1:24" s="135" customFormat="1" x14ac:dyDescent="0.25">
      <c r="A124"/>
      <c r="B124" s="295"/>
      <c r="C124" s="133" t="s">
        <v>225</v>
      </c>
      <c r="D124" s="161" t="s">
        <v>284</v>
      </c>
      <c r="E124" s="190">
        <v>1</v>
      </c>
      <c r="F124" s="251" t="s">
        <v>16</v>
      </c>
      <c r="G124" s="252">
        <v>1</v>
      </c>
      <c r="H124" s="252">
        <v>30</v>
      </c>
      <c r="I124" s="252">
        <v>30</v>
      </c>
      <c r="J124" s="253">
        <f>+(((((1750905*9.77)*47.59%)/13*12)/30)*I124)*E124</f>
        <v>7514684.387459999</v>
      </c>
      <c r="K124" s="253">
        <f t="shared" si="65"/>
        <v>3600</v>
      </c>
      <c r="L124" s="147">
        <v>0.08</v>
      </c>
      <c r="M124" s="210">
        <f t="shared" si="66"/>
        <v>601462.75099679991</v>
      </c>
      <c r="N124" s="148">
        <f t="shared" si="40"/>
        <v>8119747.1384567991</v>
      </c>
      <c r="O124" s="148">
        <f t="shared" si="58"/>
        <v>811974.71384568</v>
      </c>
      <c r="P124" s="148">
        <f t="shared" si="59"/>
        <v>154275.1956306792</v>
      </c>
      <c r="Q124" s="148">
        <f t="shared" si="60"/>
        <v>8274022.334087478</v>
      </c>
      <c r="R124" s="205"/>
      <c r="S124" s="157"/>
      <c r="T124" s="150">
        <f t="shared" si="61"/>
        <v>8274022.334087478</v>
      </c>
      <c r="U124" s="151"/>
      <c r="V124" s="134"/>
      <c r="W124" s="134"/>
      <c r="X124" s="134"/>
    </row>
    <row r="125" spans="1:24" s="135" customFormat="1" x14ac:dyDescent="0.25">
      <c r="A125"/>
      <c r="B125" s="295"/>
      <c r="C125" s="133" t="s">
        <v>225</v>
      </c>
      <c r="D125" s="161" t="s">
        <v>285</v>
      </c>
      <c r="E125" s="190">
        <v>1</v>
      </c>
      <c r="F125" s="251" t="s">
        <v>16</v>
      </c>
      <c r="G125" s="252">
        <v>1</v>
      </c>
      <c r="H125" s="252">
        <v>30</v>
      </c>
      <c r="I125" s="252">
        <v>30</v>
      </c>
      <c r="J125" s="253">
        <f>+(((((1750905*9.77)*47.59%)/13*12)/30)*I125)*E125</f>
        <v>7514684.387459999</v>
      </c>
      <c r="K125" s="253">
        <f t="shared" si="65"/>
        <v>3600</v>
      </c>
      <c r="L125" s="147">
        <v>0.08</v>
      </c>
      <c r="M125" s="210">
        <f t="shared" si="66"/>
        <v>601462.75099679991</v>
      </c>
      <c r="N125" s="148">
        <f t="shared" si="40"/>
        <v>8119747.1384567991</v>
      </c>
      <c r="O125" s="148">
        <f t="shared" si="58"/>
        <v>811974.71384568</v>
      </c>
      <c r="P125" s="148">
        <f t="shared" si="59"/>
        <v>154275.1956306792</v>
      </c>
      <c r="Q125" s="148">
        <f t="shared" si="60"/>
        <v>8274022.334087478</v>
      </c>
      <c r="R125" s="205"/>
      <c r="S125" s="157"/>
      <c r="T125" s="150">
        <f t="shared" si="61"/>
        <v>8274022.334087478</v>
      </c>
      <c r="U125" s="151"/>
      <c r="V125" s="134"/>
      <c r="W125" s="134"/>
      <c r="X125" s="134"/>
    </row>
    <row r="126" spans="1:24" s="135" customFormat="1" ht="15" customHeight="1" x14ac:dyDescent="0.25">
      <c r="A126"/>
      <c r="B126" s="295"/>
      <c r="C126" s="133" t="s">
        <v>225</v>
      </c>
      <c r="D126" s="158" t="s">
        <v>200</v>
      </c>
      <c r="E126" s="192">
        <v>1</v>
      </c>
      <c r="F126" s="265" t="s">
        <v>198</v>
      </c>
      <c r="G126" s="266">
        <v>1</v>
      </c>
      <c r="H126" s="267">
        <v>30</v>
      </c>
      <c r="I126" s="267">
        <v>20</v>
      </c>
      <c r="J126" s="253">
        <f>+(((((1750905*9.77)*47.59%)/13*13)/30)*I126)*E126+(((((1750905*9.77))*52.41%)/11*1)/30*I126)</f>
        <v>5970631.6796454545</v>
      </c>
      <c r="K126" s="253">
        <f>1800*2</f>
        <v>3600</v>
      </c>
      <c r="L126" s="147">
        <v>0.08</v>
      </c>
      <c r="M126" s="210">
        <f>(J126+K126)*L126</f>
        <v>477938.53437163634</v>
      </c>
      <c r="N126" s="148">
        <f t="shared" si="40"/>
        <v>6452170.2140170913</v>
      </c>
      <c r="O126" s="148">
        <f t="shared" si="58"/>
        <v>645217.02140170918</v>
      </c>
      <c r="P126" s="148">
        <f t="shared" si="59"/>
        <v>122591.23406632475</v>
      </c>
      <c r="Q126" s="148">
        <f>N126+P126</f>
        <v>6574761.4480834156</v>
      </c>
      <c r="R126" s="205"/>
      <c r="S126" s="157"/>
      <c r="T126" s="150">
        <f t="shared" si="61"/>
        <v>6574761.4480834156</v>
      </c>
      <c r="U126" s="151"/>
      <c r="V126" s="134"/>
      <c r="W126" s="134"/>
      <c r="X126" s="134"/>
    </row>
    <row r="127" spans="1:24" x14ac:dyDescent="0.25">
      <c r="B127" s="129"/>
      <c r="C127" s="130"/>
      <c r="D127" s="153"/>
      <c r="E127" s="191">
        <f>+SUM(E109:E126)</f>
        <v>18</v>
      </c>
      <c r="F127" s="153"/>
      <c r="G127" s="196">
        <f>SUM(G109:G126)</f>
        <v>18</v>
      </c>
      <c r="H127" s="196"/>
      <c r="I127" s="191"/>
      <c r="J127" s="154">
        <f>SUM(J109:J126)</f>
        <v>189490405.03075194</v>
      </c>
      <c r="K127" s="154"/>
      <c r="L127" s="153"/>
      <c r="M127" s="211">
        <f t="shared" ref="M127:T127" si="67">SUM(M109:M126)</f>
        <v>15165280.402460158</v>
      </c>
      <c r="N127" s="154">
        <f t="shared" si="67"/>
        <v>204731285.43321213</v>
      </c>
      <c r="O127" s="154">
        <f t="shared" si="67"/>
        <v>20473128.543321222</v>
      </c>
      <c r="P127" s="154">
        <f t="shared" si="67"/>
        <v>3889894.4232310313</v>
      </c>
      <c r="Q127" s="154">
        <f t="shared" si="67"/>
        <v>208621179.85644323</v>
      </c>
      <c r="R127" s="196">
        <f t="shared" si="67"/>
        <v>0</v>
      </c>
      <c r="S127" s="211">
        <f t="shared" si="67"/>
        <v>0</v>
      </c>
      <c r="T127" s="154">
        <f t="shared" si="67"/>
        <v>208621179.85644323</v>
      </c>
    </row>
    <row r="128" spans="1:24" s="135" customFormat="1" ht="15" customHeight="1" x14ac:dyDescent="0.25">
      <c r="A128"/>
      <c r="B128" s="296" t="s">
        <v>83</v>
      </c>
      <c r="C128" s="133" t="s">
        <v>225</v>
      </c>
      <c r="D128" s="161" t="s">
        <v>253</v>
      </c>
      <c r="E128" s="190">
        <v>1</v>
      </c>
      <c r="F128" s="251" t="s">
        <v>15</v>
      </c>
      <c r="G128" s="252">
        <v>1</v>
      </c>
      <c r="H128" s="252">
        <v>30</v>
      </c>
      <c r="I128" s="252">
        <v>30</v>
      </c>
      <c r="J128" s="253">
        <f t="shared" ref="J128:J129" si="68">+(((1750905*9.77)/30)*I128)*E128</f>
        <v>17106341.849999998</v>
      </c>
      <c r="K128" s="253">
        <f t="shared" ref="K128:K129" si="69">1800*3/30*I128</f>
        <v>5400</v>
      </c>
      <c r="L128" s="147">
        <v>0.08</v>
      </c>
      <c r="M128" s="210">
        <f t="shared" ref="M128:M129" si="70">(J128+K128)*L128</f>
        <v>1368939.3479999998</v>
      </c>
      <c r="N128" s="148">
        <f t="shared" si="40"/>
        <v>18480681.197999999</v>
      </c>
      <c r="O128" s="148">
        <f t="shared" ref="O128:O137" si="71">N128*10%</f>
        <v>1848068.1198</v>
      </c>
      <c r="P128" s="148">
        <f t="shared" ref="P128:P137" si="72">+O128*19%</f>
        <v>351132.94276200002</v>
      </c>
      <c r="Q128" s="148">
        <f t="shared" ref="Q128:Q137" si="73">N128+P128</f>
        <v>18831814.140761998</v>
      </c>
      <c r="R128" s="205"/>
      <c r="S128" s="157"/>
      <c r="T128" s="150">
        <f t="shared" si="61"/>
        <v>18831814.140761998</v>
      </c>
      <c r="U128" s="151"/>
      <c r="V128" s="134"/>
      <c r="W128" s="134"/>
      <c r="X128" s="134"/>
    </row>
    <row r="129" spans="1:24" s="135" customFormat="1" x14ac:dyDescent="0.25">
      <c r="A129"/>
      <c r="B129" s="296"/>
      <c r="C129" s="133" t="s">
        <v>225</v>
      </c>
      <c r="D129" s="161" t="s">
        <v>254</v>
      </c>
      <c r="E129" s="190">
        <v>1</v>
      </c>
      <c r="F129" s="251" t="s">
        <v>15</v>
      </c>
      <c r="G129" s="252">
        <v>1</v>
      </c>
      <c r="H129" s="252">
        <v>30</v>
      </c>
      <c r="I129" s="252">
        <v>30</v>
      </c>
      <c r="J129" s="253">
        <f t="shared" si="68"/>
        <v>17106341.849999998</v>
      </c>
      <c r="K129" s="253">
        <f t="shared" si="69"/>
        <v>5400</v>
      </c>
      <c r="L129" s="147">
        <v>0.08</v>
      </c>
      <c r="M129" s="210">
        <f t="shared" si="70"/>
        <v>1368939.3479999998</v>
      </c>
      <c r="N129" s="148">
        <f t="shared" si="40"/>
        <v>18480681.197999999</v>
      </c>
      <c r="O129" s="148">
        <f t="shared" si="71"/>
        <v>1848068.1198</v>
      </c>
      <c r="P129" s="148">
        <f t="shared" si="72"/>
        <v>351132.94276200002</v>
      </c>
      <c r="Q129" s="148">
        <f t="shared" si="73"/>
        <v>18831814.140761998</v>
      </c>
      <c r="R129" s="205"/>
      <c r="S129" s="157"/>
      <c r="T129" s="150">
        <f t="shared" si="61"/>
        <v>18831814.140761998</v>
      </c>
      <c r="U129" s="151"/>
      <c r="V129" s="134"/>
      <c r="W129" s="134"/>
      <c r="X129" s="134"/>
    </row>
    <row r="130" spans="1:24" s="135" customFormat="1" ht="21" customHeight="1" x14ac:dyDescent="0.25">
      <c r="A130"/>
      <c r="B130" s="297"/>
      <c r="C130" s="133" t="s">
        <v>225</v>
      </c>
      <c r="D130" s="161" t="s">
        <v>255</v>
      </c>
      <c r="E130" s="190">
        <v>1</v>
      </c>
      <c r="F130" s="251" t="s">
        <v>17</v>
      </c>
      <c r="G130" s="252">
        <v>1</v>
      </c>
      <c r="H130" s="252">
        <v>30</v>
      </c>
      <c r="I130" s="252">
        <v>24</v>
      </c>
      <c r="J130" s="253">
        <f t="shared" ref="J130:J131" si="74">+(((((1750905*9.77)*47.59%)/13*12)/30)*I130)*E130</f>
        <v>6011747.5099679995</v>
      </c>
      <c r="K130" s="253">
        <f t="shared" ref="K130:K131" si="75">1800*2</f>
        <v>3600</v>
      </c>
      <c r="L130" s="147">
        <v>0.08</v>
      </c>
      <c r="M130" s="210">
        <f t="shared" ref="M130:M131" si="76">(J130+K130)*L130</f>
        <v>481227.80079744</v>
      </c>
      <c r="N130" s="148">
        <f t="shared" si="40"/>
        <v>6496575.3107654396</v>
      </c>
      <c r="O130" s="148">
        <f t="shared" si="71"/>
        <v>649657.53107654396</v>
      </c>
      <c r="P130" s="148">
        <f t="shared" si="72"/>
        <v>123434.93090454335</v>
      </c>
      <c r="Q130" s="148">
        <f t="shared" si="73"/>
        <v>6620010.2416699827</v>
      </c>
      <c r="R130" s="205"/>
      <c r="S130" s="157"/>
      <c r="T130" s="150">
        <f t="shared" si="61"/>
        <v>6620010.2416699827</v>
      </c>
      <c r="U130" s="151"/>
      <c r="V130" s="134"/>
      <c r="W130" s="134"/>
      <c r="X130" s="134"/>
    </row>
    <row r="131" spans="1:24" s="135" customFormat="1" ht="18.75" customHeight="1" x14ac:dyDescent="0.25">
      <c r="A131"/>
      <c r="B131" s="297"/>
      <c r="C131" s="133" t="s">
        <v>225</v>
      </c>
      <c r="D131" s="161" t="s">
        <v>256</v>
      </c>
      <c r="E131" s="190">
        <v>1</v>
      </c>
      <c r="F131" s="251" t="s">
        <v>17</v>
      </c>
      <c r="G131" s="252">
        <v>1</v>
      </c>
      <c r="H131" s="252">
        <v>30</v>
      </c>
      <c r="I131" s="252">
        <v>24</v>
      </c>
      <c r="J131" s="253">
        <f t="shared" si="74"/>
        <v>6011747.5099679995</v>
      </c>
      <c r="K131" s="253">
        <f t="shared" si="75"/>
        <v>3600</v>
      </c>
      <c r="L131" s="147">
        <v>0.08</v>
      </c>
      <c r="M131" s="210">
        <f t="shared" si="76"/>
        <v>481227.80079744</v>
      </c>
      <c r="N131" s="148">
        <f t="shared" si="40"/>
        <v>6496575.3107654396</v>
      </c>
      <c r="O131" s="148">
        <f t="shared" si="71"/>
        <v>649657.53107654396</v>
      </c>
      <c r="P131" s="148">
        <f t="shared" si="72"/>
        <v>123434.93090454335</v>
      </c>
      <c r="Q131" s="148">
        <f t="shared" si="73"/>
        <v>6620010.2416699827</v>
      </c>
      <c r="R131" s="205"/>
      <c r="S131" s="157"/>
      <c r="T131" s="150">
        <f t="shared" si="61"/>
        <v>6620010.2416699827</v>
      </c>
      <c r="U131" s="151"/>
      <c r="V131" s="134"/>
      <c r="W131" s="134"/>
      <c r="X131" s="134"/>
    </row>
    <row r="132" spans="1:24" ht="18" customHeight="1" x14ac:dyDescent="0.25">
      <c r="B132" s="297"/>
      <c r="C132" s="131" t="s">
        <v>225</v>
      </c>
      <c r="D132" s="163" t="s">
        <v>257</v>
      </c>
      <c r="E132" s="132">
        <v>1</v>
      </c>
      <c r="F132" s="257" t="s">
        <v>57</v>
      </c>
      <c r="G132" s="258">
        <v>1</v>
      </c>
      <c r="H132" s="258">
        <v>30</v>
      </c>
      <c r="I132" s="267">
        <v>20</v>
      </c>
      <c r="J132" s="253">
        <f>+(((((1750905*9.77)*47.59%)/13*12)/30)*I132)*E132</f>
        <v>5009789.5916399993</v>
      </c>
      <c r="K132" s="253">
        <f>1800*1</f>
        <v>1800</v>
      </c>
      <c r="L132" s="147">
        <v>0.08</v>
      </c>
      <c r="M132" s="210">
        <f>(J132+K132)*L132</f>
        <v>400927.16733119998</v>
      </c>
      <c r="N132" s="148">
        <f t="shared" si="40"/>
        <v>5412516.7589711994</v>
      </c>
      <c r="O132" s="148">
        <f t="shared" si="71"/>
        <v>541251.67589711992</v>
      </c>
      <c r="P132" s="148">
        <f t="shared" si="72"/>
        <v>102837.81842045278</v>
      </c>
      <c r="Q132" s="148">
        <f>N132+P132</f>
        <v>5515354.5773916524</v>
      </c>
      <c r="R132" s="206"/>
      <c r="S132" s="216"/>
      <c r="T132" s="160">
        <f t="shared" si="61"/>
        <v>5515354.5773916524</v>
      </c>
    </row>
    <row r="133" spans="1:24" s="135" customFormat="1" x14ac:dyDescent="0.25">
      <c r="A133"/>
      <c r="B133" s="296"/>
      <c r="C133" s="133" t="s">
        <v>225</v>
      </c>
      <c r="D133" s="158" t="s">
        <v>258</v>
      </c>
      <c r="E133" s="190">
        <v>1</v>
      </c>
      <c r="F133" s="251" t="s">
        <v>15</v>
      </c>
      <c r="G133" s="252">
        <v>1</v>
      </c>
      <c r="H133" s="252">
        <v>30</v>
      </c>
      <c r="I133" s="252">
        <v>30</v>
      </c>
      <c r="J133" s="253">
        <f t="shared" ref="J133:J140" si="77">+(((1750905*9.77)/30)*I133)*E133</f>
        <v>17106341.849999998</v>
      </c>
      <c r="K133" s="253">
        <f t="shared" ref="K133:K137" si="78">1800*3/30*I133</f>
        <v>5400</v>
      </c>
      <c r="L133" s="147">
        <v>0.08</v>
      </c>
      <c r="M133" s="210">
        <f t="shared" ref="M133:M140" si="79">(J133+K133)*L133</f>
        <v>1368939.3479999998</v>
      </c>
      <c r="N133" s="148">
        <f t="shared" si="40"/>
        <v>18480681.197999999</v>
      </c>
      <c r="O133" s="148">
        <f t="shared" si="71"/>
        <v>1848068.1198</v>
      </c>
      <c r="P133" s="148">
        <f t="shared" si="72"/>
        <v>351132.94276200002</v>
      </c>
      <c r="Q133" s="148">
        <f t="shared" si="73"/>
        <v>18831814.140761998</v>
      </c>
      <c r="R133" s="205"/>
      <c r="S133" s="157"/>
      <c r="T133" s="150">
        <f t="shared" si="61"/>
        <v>18831814.140761998</v>
      </c>
      <c r="U133" s="151"/>
      <c r="V133" s="134"/>
      <c r="W133" s="134"/>
      <c r="X133" s="134"/>
    </row>
    <row r="134" spans="1:24" s="135" customFormat="1" x14ac:dyDescent="0.25">
      <c r="A134"/>
      <c r="B134" s="296"/>
      <c r="C134" s="133" t="s">
        <v>225</v>
      </c>
      <c r="D134" s="161" t="s">
        <v>259</v>
      </c>
      <c r="E134" s="190">
        <v>1</v>
      </c>
      <c r="F134" s="251" t="s">
        <v>15</v>
      </c>
      <c r="G134" s="252">
        <v>1</v>
      </c>
      <c r="H134" s="252">
        <v>30</v>
      </c>
      <c r="I134" s="252">
        <v>30</v>
      </c>
      <c r="J134" s="253">
        <f t="shared" si="77"/>
        <v>17106341.849999998</v>
      </c>
      <c r="K134" s="253">
        <f t="shared" si="78"/>
        <v>5400</v>
      </c>
      <c r="L134" s="147">
        <v>0.08</v>
      </c>
      <c r="M134" s="210">
        <f t="shared" si="79"/>
        <v>1368939.3479999998</v>
      </c>
      <c r="N134" s="148">
        <f t="shared" si="40"/>
        <v>18480681.197999999</v>
      </c>
      <c r="O134" s="148">
        <f t="shared" si="71"/>
        <v>1848068.1198</v>
      </c>
      <c r="P134" s="148">
        <f t="shared" si="72"/>
        <v>351132.94276200002</v>
      </c>
      <c r="Q134" s="148">
        <f t="shared" si="73"/>
        <v>18831814.140761998</v>
      </c>
      <c r="R134" s="205"/>
      <c r="S134" s="157"/>
      <c r="T134" s="150">
        <f t="shared" si="61"/>
        <v>18831814.140761998</v>
      </c>
      <c r="U134" s="151"/>
      <c r="V134" s="134"/>
      <c r="W134" s="134"/>
      <c r="X134" s="134"/>
    </row>
    <row r="135" spans="1:24" s="135" customFormat="1" x14ac:dyDescent="0.25">
      <c r="A135"/>
      <c r="B135" s="296"/>
      <c r="C135" s="133" t="s">
        <v>225</v>
      </c>
      <c r="D135" s="158" t="s">
        <v>260</v>
      </c>
      <c r="E135" s="190">
        <v>1</v>
      </c>
      <c r="F135" s="251" t="s">
        <v>15</v>
      </c>
      <c r="G135" s="252">
        <v>1</v>
      </c>
      <c r="H135" s="252">
        <v>30</v>
      </c>
      <c r="I135" s="252">
        <v>30</v>
      </c>
      <c r="J135" s="253">
        <f t="shared" si="77"/>
        <v>17106341.849999998</v>
      </c>
      <c r="K135" s="253">
        <f t="shared" si="78"/>
        <v>5400</v>
      </c>
      <c r="L135" s="147">
        <v>0.08</v>
      </c>
      <c r="M135" s="210">
        <f t="shared" si="79"/>
        <v>1368939.3479999998</v>
      </c>
      <c r="N135" s="148">
        <f t="shared" si="40"/>
        <v>18480681.197999999</v>
      </c>
      <c r="O135" s="148">
        <f t="shared" si="71"/>
        <v>1848068.1198</v>
      </c>
      <c r="P135" s="148">
        <f t="shared" si="72"/>
        <v>351132.94276200002</v>
      </c>
      <c r="Q135" s="148">
        <f t="shared" si="73"/>
        <v>18831814.140761998</v>
      </c>
      <c r="R135" s="205"/>
      <c r="S135" s="157"/>
      <c r="T135" s="150">
        <f t="shared" si="61"/>
        <v>18831814.140761998</v>
      </c>
      <c r="U135" s="151"/>
      <c r="V135" s="134"/>
      <c r="W135" s="134"/>
      <c r="X135" s="134"/>
    </row>
    <row r="136" spans="1:24" s="135" customFormat="1" x14ac:dyDescent="0.25">
      <c r="A136"/>
      <c r="B136" s="296"/>
      <c r="C136" s="133" t="s">
        <v>225</v>
      </c>
      <c r="D136" s="161" t="s">
        <v>261</v>
      </c>
      <c r="E136" s="190">
        <v>1</v>
      </c>
      <c r="F136" s="251" t="s">
        <v>15</v>
      </c>
      <c r="G136" s="252">
        <v>1</v>
      </c>
      <c r="H136" s="252">
        <v>30</v>
      </c>
      <c r="I136" s="252">
        <v>30</v>
      </c>
      <c r="J136" s="253">
        <f t="shared" si="77"/>
        <v>17106341.849999998</v>
      </c>
      <c r="K136" s="253">
        <f t="shared" si="78"/>
        <v>5400</v>
      </c>
      <c r="L136" s="147">
        <v>0.08</v>
      </c>
      <c r="M136" s="210">
        <f t="shared" si="79"/>
        <v>1368939.3479999998</v>
      </c>
      <c r="N136" s="148">
        <f t="shared" si="40"/>
        <v>18480681.197999999</v>
      </c>
      <c r="O136" s="148">
        <f t="shared" si="71"/>
        <v>1848068.1198</v>
      </c>
      <c r="P136" s="148">
        <f t="shared" si="72"/>
        <v>351132.94276200002</v>
      </c>
      <c r="Q136" s="148">
        <f t="shared" si="73"/>
        <v>18831814.140761998</v>
      </c>
      <c r="R136" s="205"/>
      <c r="S136" s="157"/>
      <c r="T136" s="150">
        <f t="shared" si="61"/>
        <v>18831814.140761998</v>
      </c>
      <c r="U136" s="151"/>
      <c r="V136" s="134"/>
      <c r="W136" s="134"/>
      <c r="X136" s="134"/>
    </row>
    <row r="137" spans="1:24" s="135" customFormat="1" x14ac:dyDescent="0.25">
      <c r="A137"/>
      <c r="B137" s="296"/>
      <c r="C137" s="133" t="s">
        <v>225</v>
      </c>
      <c r="D137" s="158" t="s">
        <v>73</v>
      </c>
      <c r="E137" s="190">
        <v>1</v>
      </c>
      <c r="F137" s="251" t="s">
        <v>15</v>
      </c>
      <c r="G137" s="252">
        <v>1</v>
      </c>
      <c r="H137" s="252">
        <v>30</v>
      </c>
      <c r="I137" s="252">
        <v>30</v>
      </c>
      <c r="J137" s="253">
        <f t="shared" si="77"/>
        <v>17106341.849999998</v>
      </c>
      <c r="K137" s="253">
        <f t="shared" si="78"/>
        <v>5400</v>
      </c>
      <c r="L137" s="147">
        <v>0.08</v>
      </c>
      <c r="M137" s="210">
        <f t="shared" si="79"/>
        <v>1368939.3479999998</v>
      </c>
      <c r="N137" s="148">
        <f t="shared" si="40"/>
        <v>18480681.197999999</v>
      </c>
      <c r="O137" s="148">
        <f t="shared" si="71"/>
        <v>1848068.1198</v>
      </c>
      <c r="P137" s="148">
        <f t="shared" si="72"/>
        <v>351132.94276200002</v>
      </c>
      <c r="Q137" s="148">
        <f t="shared" si="73"/>
        <v>18831814.140761998</v>
      </c>
      <c r="R137" s="205"/>
      <c r="S137" s="157"/>
      <c r="T137" s="150">
        <f t="shared" si="61"/>
        <v>18831814.140761998</v>
      </c>
      <c r="U137" s="151"/>
      <c r="V137" s="134"/>
      <c r="W137" s="134"/>
      <c r="X137" s="134"/>
    </row>
    <row r="138" spans="1:24" s="135" customFormat="1" ht="17.25" customHeight="1" x14ac:dyDescent="0.25">
      <c r="A138"/>
      <c r="B138" s="296"/>
      <c r="C138" s="133" t="s">
        <v>225</v>
      </c>
      <c r="D138" s="146" t="s">
        <v>25</v>
      </c>
      <c r="E138" s="190">
        <v>1</v>
      </c>
      <c r="F138" s="251" t="s">
        <v>26</v>
      </c>
      <c r="G138" s="252">
        <v>1</v>
      </c>
      <c r="H138" s="252">
        <v>30</v>
      </c>
      <c r="I138" s="252">
        <v>30</v>
      </c>
      <c r="J138" s="253">
        <f t="shared" si="77"/>
        <v>17106341.849999998</v>
      </c>
      <c r="K138" s="253">
        <f>1800*3/30*I138</f>
        <v>5400</v>
      </c>
      <c r="L138" s="147">
        <v>0.1</v>
      </c>
      <c r="M138" s="210">
        <f>(J138+K138)*L138</f>
        <v>1711174.1849999998</v>
      </c>
      <c r="N138" s="148">
        <f t="shared" ref="N138:N146" si="80">J138+K138+M138</f>
        <v>18822916.034999996</v>
      </c>
      <c r="O138" s="148">
        <f>N138*10%</f>
        <v>1882291.6034999997</v>
      </c>
      <c r="P138" s="148">
        <f>+O138*19%</f>
        <v>357635.40466499998</v>
      </c>
      <c r="Q138" s="148">
        <f>N138+P138</f>
        <v>19180551.439664997</v>
      </c>
      <c r="R138" s="205"/>
      <c r="S138" s="157"/>
      <c r="T138" s="150">
        <f t="shared" si="61"/>
        <v>19180551.439664997</v>
      </c>
      <c r="U138" s="151"/>
      <c r="V138" s="134"/>
      <c r="W138" s="134"/>
      <c r="X138" s="134"/>
    </row>
    <row r="139" spans="1:24" x14ac:dyDescent="0.25">
      <c r="B139" s="296"/>
      <c r="C139" s="131" t="s">
        <v>225</v>
      </c>
      <c r="D139" s="159" t="s">
        <v>315</v>
      </c>
      <c r="E139" s="132">
        <v>1</v>
      </c>
      <c r="F139" s="257" t="s">
        <v>15</v>
      </c>
      <c r="G139" s="258">
        <v>1</v>
      </c>
      <c r="H139" s="252">
        <v>30</v>
      </c>
      <c r="I139" s="252">
        <v>30</v>
      </c>
      <c r="J139" s="253">
        <f t="shared" si="77"/>
        <v>17106341.849999998</v>
      </c>
      <c r="K139" s="253">
        <f t="shared" ref="K139:K140" si="81">1800*3/30*I139</f>
        <v>5400</v>
      </c>
      <c r="L139" s="155">
        <v>0.08</v>
      </c>
      <c r="M139" s="210">
        <f t="shared" si="79"/>
        <v>1368939.3479999998</v>
      </c>
      <c r="N139" s="148">
        <f t="shared" si="80"/>
        <v>18480681.197999999</v>
      </c>
      <c r="O139" s="156">
        <f t="shared" ref="O139:O142" si="82">N139*10%</f>
        <v>1848068.1198</v>
      </c>
      <c r="P139" s="156">
        <f t="shared" ref="P139:P142" si="83">+O139*19%</f>
        <v>351132.94276200002</v>
      </c>
      <c r="Q139" s="156">
        <f t="shared" ref="Q139:Q140" si="84">N139+P139</f>
        <v>18831814.140761998</v>
      </c>
      <c r="R139" s="206"/>
      <c r="S139" s="216"/>
      <c r="T139" s="160">
        <f t="shared" si="61"/>
        <v>18831814.140761998</v>
      </c>
    </row>
    <row r="140" spans="1:24" x14ac:dyDescent="0.25">
      <c r="B140" s="296"/>
      <c r="C140" s="131" t="s">
        <v>225</v>
      </c>
      <c r="D140" s="159" t="s">
        <v>315</v>
      </c>
      <c r="E140" s="132">
        <v>1</v>
      </c>
      <c r="F140" s="257" t="s">
        <v>15</v>
      </c>
      <c r="G140" s="258">
        <v>1</v>
      </c>
      <c r="H140" s="252">
        <v>30</v>
      </c>
      <c r="I140" s="252">
        <v>30</v>
      </c>
      <c r="J140" s="253">
        <f t="shared" si="77"/>
        <v>17106341.849999998</v>
      </c>
      <c r="K140" s="253">
        <f t="shared" si="81"/>
        <v>5400</v>
      </c>
      <c r="L140" s="155">
        <v>0.08</v>
      </c>
      <c r="M140" s="210">
        <f t="shared" si="79"/>
        <v>1368939.3479999998</v>
      </c>
      <c r="N140" s="148">
        <f t="shared" si="80"/>
        <v>18480681.197999999</v>
      </c>
      <c r="O140" s="156">
        <f t="shared" si="82"/>
        <v>1848068.1198</v>
      </c>
      <c r="P140" s="156">
        <f t="shared" si="83"/>
        <v>351132.94276200002</v>
      </c>
      <c r="Q140" s="156">
        <f t="shared" si="84"/>
        <v>18831814.140761998</v>
      </c>
      <c r="R140" s="206"/>
      <c r="S140" s="216"/>
      <c r="T140" s="160">
        <f t="shared" si="61"/>
        <v>18831814.140761998</v>
      </c>
    </row>
    <row r="141" spans="1:24" x14ac:dyDescent="0.25">
      <c r="B141" s="296"/>
      <c r="C141" s="131" t="s">
        <v>225</v>
      </c>
      <c r="D141" s="159" t="s">
        <v>315</v>
      </c>
      <c r="E141" s="132">
        <v>1</v>
      </c>
      <c r="F141" s="257" t="s">
        <v>16</v>
      </c>
      <c r="G141" s="258">
        <v>1</v>
      </c>
      <c r="H141" s="252">
        <v>30</v>
      </c>
      <c r="I141" s="252">
        <v>30</v>
      </c>
      <c r="J141" s="253">
        <f>+(((((1750905*9.77)*47.59%)/13*12)/30)*I141)*E141</f>
        <v>7514684.387459999</v>
      </c>
      <c r="K141" s="253">
        <f t="shared" ref="K141:K142" si="85">1800*2/30*I141</f>
        <v>3600</v>
      </c>
      <c r="L141" s="155">
        <v>0.08</v>
      </c>
      <c r="M141" s="210">
        <f t="shared" ref="M141:M142" si="86">(J141+K141)*L141</f>
        <v>601462.75099679991</v>
      </c>
      <c r="N141" s="148">
        <f t="shared" si="80"/>
        <v>8119747.1384567991</v>
      </c>
      <c r="O141" s="156">
        <f t="shared" si="82"/>
        <v>811974.71384568</v>
      </c>
      <c r="P141" s="156">
        <f t="shared" si="83"/>
        <v>154275.1956306792</v>
      </c>
      <c r="Q141" s="156">
        <f>N141+P141</f>
        <v>8274022.334087478</v>
      </c>
      <c r="R141" s="206"/>
      <c r="S141" s="216"/>
      <c r="T141" s="160">
        <f t="shared" si="61"/>
        <v>8274022.334087478</v>
      </c>
    </row>
    <row r="142" spans="1:24" x14ac:dyDescent="0.25">
      <c r="B142" s="296"/>
      <c r="C142" s="131" t="s">
        <v>225</v>
      </c>
      <c r="D142" s="159" t="s">
        <v>315</v>
      </c>
      <c r="E142" s="132">
        <v>1</v>
      </c>
      <c r="F142" s="257" t="s">
        <v>16</v>
      </c>
      <c r="G142" s="258">
        <v>1</v>
      </c>
      <c r="H142" s="252">
        <v>30</v>
      </c>
      <c r="I142" s="252">
        <v>30</v>
      </c>
      <c r="J142" s="253">
        <f>+(((((1750905*9.77)*47.59%)/13*12)/30)*I142)*E142</f>
        <v>7514684.387459999</v>
      </c>
      <c r="K142" s="253">
        <f t="shared" si="85"/>
        <v>3600</v>
      </c>
      <c r="L142" s="155">
        <v>0.08</v>
      </c>
      <c r="M142" s="210">
        <f t="shared" si="86"/>
        <v>601462.75099679991</v>
      </c>
      <c r="N142" s="148">
        <f t="shared" si="80"/>
        <v>8119747.1384567991</v>
      </c>
      <c r="O142" s="156">
        <f t="shared" si="82"/>
        <v>811974.71384568</v>
      </c>
      <c r="P142" s="156">
        <f t="shared" si="83"/>
        <v>154275.1956306792</v>
      </c>
      <c r="Q142" s="156">
        <f>N142+P142</f>
        <v>8274022.334087478</v>
      </c>
      <c r="R142" s="206"/>
      <c r="S142" s="216"/>
      <c r="T142" s="160">
        <f t="shared" si="61"/>
        <v>8274022.334087478</v>
      </c>
    </row>
    <row r="143" spans="1:24" ht="17.25" customHeight="1" x14ac:dyDescent="0.25">
      <c r="B143" s="297"/>
      <c r="C143" s="131" t="s">
        <v>225</v>
      </c>
      <c r="D143" s="159" t="s">
        <v>75</v>
      </c>
      <c r="E143" s="132">
        <v>1</v>
      </c>
      <c r="F143" s="257" t="s">
        <v>57</v>
      </c>
      <c r="G143" s="258">
        <v>1</v>
      </c>
      <c r="H143" s="258">
        <v>30</v>
      </c>
      <c r="I143" s="267">
        <v>20</v>
      </c>
      <c r="J143" s="253">
        <f>+(((((1750905*9.77)*47.59%)/13*12)/30)*I143)*E143</f>
        <v>5009789.5916399993</v>
      </c>
      <c r="K143" s="253">
        <f>1800*1</f>
        <v>1800</v>
      </c>
      <c r="L143" s="155">
        <v>0.08</v>
      </c>
      <c r="M143" s="210">
        <f>(J143+K143)*L143</f>
        <v>400927.16733119998</v>
      </c>
      <c r="N143" s="148">
        <f t="shared" si="80"/>
        <v>5412516.7589711994</v>
      </c>
      <c r="O143" s="156">
        <f>N143*10%</f>
        <v>541251.67589711992</v>
      </c>
      <c r="P143" s="156">
        <f>+O143*19%</f>
        <v>102837.81842045278</v>
      </c>
      <c r="Q143" s="156">
        <f>N143+P143</f>
        <v>5515354.5773916524</v>
      </c>
      <c r="R143" s="206"/>
      <c r="S143" s="216"/>
      <c r="T143" s="150">
        <f t="shared" si="61"/>
        <v>5515354.5773916524</v>
      </c>
    </row>
    <row r="144" spans="1:24" x14ac:dyDescent="0.25">
      <c r="B144" s="126"/>
      <c r="C144" s="130"/>
      <c r="D144" s="153"/>
      <c r="E144" s="191">
        <f>SUM(E128:E143)</f>
        <v>16</v>
      </c>
      <c r="F144" s="153"/>
      <c r="G144" s="196">
        <f>SUM(G128:G143)</f>
        <v>16</v>
      </c>
      <c r="H144" s="196"/>
      <c r="I144" s="191"/>
      <c r="J144" s="154">
        <f>SUM(J128:J143)</f>
        <v>208135861.47813594</v>
      </c>
      <c r="K144" s="154"/>
      <c r="L144" s="153"/>
      <c r="M144" s="211">
        <f t="shared" ref="M144:T144" si="87">SUM(M128:M143)</f>
        <v>16998863.755250875</v>
      </c>
      <c r="N144" s="154">
        <f t="shared" si="87"/>
        <v>225206725.23338687</v>
      </c>
      <c r="O144" s="154">
        <f t="shared" si="87"/>
        <v>22520672.52333869</v>
      </c>
      <c r="P144" s="154">
        <f t="shared" si="87"/>
        <v>4278927.7794343513</v>
      </c>
      <c r="Q144" s="154">
        <f t="shared" si="87"/>
        <v>229485653.01282123</v>
      </c>
      <c r="R144" s="196">
        <f t="shared" si="87"/>
        <v>0</v>
      </c>
      <c r="S144" s="211">
        <f t="shared" si="87"/>
        <v>0</v>
      </c>
      <c r="T144" s="154">
        <f t="shared" si="87"/>
        <v>229485653.01282123</v>
      </c>
      <c r="U144" s="162"/>
    </row>
    <row r="145" spans="1:24" ht="39" x14ac:dyDescent="0.25">
      <c r="B145" s="136"/>
      <c r="C145" s="131" t="s">
        <v>225</v>
      </c>
      <c r="D145" s="159" t="s">
        <v>324</v>
      </c>
      <c r="E145" s="132">
        <v>1</v>
      </c>
      <c r="F145" s="268" t="s">
        <v>229</v>
      </c>
      <c r="G145" s="258">
        <v>1</v>
      </c>
      <c r="H145" s="258">
        <v>5</v>
      </c>
      <c r="I145" s="258">
        <v>5</v>
      </c>
      <c r="J145" s="253">
        <f>+((((((1750905*9.77)*47.59%)/13*1)/30)*I145))+((((((1750905*9.77)*52.41%)/11*11)/30*I145)))</f>
        <v>1598609.57709</v>
      </c>
      <c r="K145" s="253">
        <f>1800*2/30*I145</f>
        <v>600</v>
      </c>
      <c r="L145" s="155">
        <v>0.08</v>
      </c>
      <c r="M145" s="210">
        <f>(J145+K145)*L145</f>
        <v>127936.76616720001</v>
      </c>
      <c r="N145" s="148">
        <f t="shared" si="80"/>
        <v>1727146.3432572</v>
      </c>
      <c r="O145" s="156">
        <f>N145*10%</f>
        <v>172714.63432572002</v>
      </c>
      <c r="P145" s="156">
        <f>+O145*19%</f>
        <v>32815.780521886802</v>
      </c>
      <c r="Q145" s="156">
        <f>N145+P145</f>
        <v>1759962.1237790869</v>
      </c>
      <c r="R145" s="206"/>
      <c r="S145" s="216"/>
      <c r="T145" s="160">
        <f>Q145-S145</f>
        <v>1759962.1237790869</v>
      </c>
      <c r="W145" s="137"/>
    </row>
    <row r="146" spans="1:24" x14ac:dyDescent="0.25">
      <c r="B146" s="136"/>
      <c r="C146" s="131"/>
      <c r="D146" s="159" t="s">
        <v>325</v>
      </c>
      <c r="E146" s="132">
        <v>1</v>
      </c>
      <c r="F146" s="251" t="s">
        <v>17</v>
      </c>
      <c r="G146" s="132">
        <v>1</v>
      </c>
      <c r="H146" s="132">
        <v>2</v>
      </c>
      <c r="I146" s="132">
        <v>2</v>
      </c>
      <c r="J146" s="291">
        <f t="shared" ref="J146" si="88">+(((((1750905*9.77)*47.59%)/13*12)/30)*I146)*E146</f>
        <v>500978.95916399994</v>
      </c>
      <c r="K146" s="253">
        <f>1800*2/30*I146</f>
        <v>240</v>
      </c>
      <c r="L146" s="155">
        <v>0.08</v>
      </c>
      <c r="M146" s="208">
        <f t="shared" ref="M146" si="89">(J146+K146)*L146</f>
        <v>40097.516733119999</v>
      </c>
      <c r="N146" s="156">
        <f t="shared" si="80"/>
        <v>541316.47589711996</v>
      </c>
      <c r="O146" s="156">
        <f t="shared" ref="O146" si="90">N146*10%</f>
        <v>54131.647589711996</v>
      </c>
      <c r="P146" s="156">
        <f t="shared" ref="P146" si="91">+O146*19%</f>
        <v>10285.013042045279</v>
      </c>
      <c r="Q146" s="156">
        <f t="shared" ref="Q146" si="92">N146+P146</f>
        <v>551601.48893916525</v>
      </c>
      <c r="R146" s="206"/>
      <c r="S146" s="216"/>
      <c r="T146" s="160">
        <f t="shared" ref="T146" si="93">Q146-S146</f>
        <v>551601.48893916525</v>
      </c>
    </row>
    <row r="147" spans="1:24" x14ac:dyDescent="0.25">
      <c r="B147" s="126"/>
      <c r="C147" s="123"/>
      <c r="D147" s="165"/>
      <c r="E147" s="193"/>
      <c r="F147" s="165"/>
      <c r="G147" s="196"/>
      <c r="H147" s="197"/>
      <c r="I147" s="198"/>
      <c r="J147" s="154">
        <f>SUM(J145:J146)</f>
        <v>2099588.5362539999</v>
      </c>
      <c r="K147" s="154"/>
      <c r="L147" s="154"/>
      <c r="M147" s="211">
        <f t="shared" ref="M147:T147" si="94">SUM(M145:M146)</f>
        <v>168034.28290032002</v>
      </c>
      <c r="N147" s="166">
        <f t="shared" si="94"/>
        <v>2268462.8191543198</v>
      </c>
      <c r="O147" s="166">
        <f t="shared" si="94"/>
        <v>226846.28191543202</v>
      </c>
      <c r="P147" s="167">
        <f t="shared" si="94"/>
        <v>43100.793563932079</v>
      </c>
      <c r="Q147" s="154">
        <f t="shared" si="94"/>
        <v>2311563.612718252</v>
      </c>
      <c r="R147" s="196">
        <f t="shared" si="94"/>
        <v>0</v>
      </c>
      <c r="S147" s="211">
        <f t="shared" si="94"/>
        <v>0</v>
      </c>
      <c r="T147" s="154">
        <f t="shared" si="94"/>
        <v>2311563.612718252</v>
      </c>
    </row>
    <row r="148" spans="1:24" s="135" customFormat="1" x14ac:dyDescent="0.25">
      <c r="A148"/>
      <c r="D148" s="168"/>
      <c r="E148" s="134"/>
      <c r="F148" s="168"/>
      <c r="G148" s="134"/>
      <c r="H148" s="134"/>
      <c r="I148" s="134"/>
      <c r="J148" s="169"/>
      <c r="K148" s="169"/>
      <c r="L148" s="162"/>
      <c r="M148" s="212"/>
      <c r="N148" s="162"/>
      <c r="O148" s="162"/>
      <c r="P148" s="162" t="s">
        <v>322</v>
      </c>
      <c r="Q148" s="150"/>
      <c r="R148" s="205"/>
      <c r="S148" s="157"/>
      <c r="T148" s="149"/>
      <c r="U148" s="151"/>
      <c r="V148" s="134"/>
      <c r="W148" s="134"/>
      <c r="X148" s="134"/>
    </row>
    <row r="149" spans="1:24" x14ac:dyDescent="0.25">
      <c r="B149" s="126"/>
      <c r="C149" s="123"/>
      <c r="D149" s="170"/>
      <c r="E149" s="194">
        <f>+E28+E108+E127+E144</f>
        <v>135</v>
      </c>
      <c r="F149" s="170"/>
      <c r="G149" s="199">
        <f>+G147+G144+G127+G108+G28</f>
        <v>135</v>
      </c>
      <c r="H149" s="200"/>
      <c r="I149" s="201"/>
      <c r="J149" s="143">
        <f>+J147+J144+J127+J108+J28</f>
        <v>1760982193.9767118</v>
      </c>
      <c r="K149" s="143"/>
      <c r="L149" s="171"/>
      <c r="M149" s="209">
        <f t="shared" ref="M149:S149" si="95">+M147+M144+M127+M108+M28</f>
        <v>141270787.95513692</v>
      </c>
      <c r="N149" s="171">
        <f t="shared" si="95"/>
        <v>1902794901.9318471</v>
      </c>
      <c r="O149" s="171">
        <f t="shared" si="95"/>
        <v>190287770.19318491</v>
      </c>
      <c r="P149" s="172">
        <f t="shared" si="95"/>
        <v>36154676.336705111</v>
      </c>
      <c r="Q149" s="173">
        <f t="shared" si="95"/>
        <v>1939032378.2685535</v>
      </c>
      <c r="R149" s="207">
        <f t="shared" si="95"/>
        <v>62</v>
      </c>
      <c r="S149" s="217">
        <f t="shared" si="95"/>
        <v>20528271.966666672</v>
      </c>
      <c r="T149" s="173">
        <f>SUM(T28+T108+T127+T144+T147)</f>
        <v>1918504106.3018868</v>
      </c>
    </row>
    <row r="150" spans="1:24" x14ac:dyDescent="0.25">
      <c r="B150" s="127"/>
      <c r="C150" s="127"/>
      <c r="D150" s="174"/>
      <c r="E150" s="195"/>
      <c r="F150" s="174"/>
      <c r="G150" s="202"/>
      <c r="H150" s="202"/>
      <c r="I150" s="195" t="s">
        <v>316</v>
      </c>
      <c r="J150" s="176"/>
      <c r="K150" s="176"/>
      <c r="L150" s="175"/>
      <c r="M150" s="213"/>
      <c r="N150" s="175"/>
      <c r="O150" s="175"/>
      <c r="P150" s="175"/>
      <c r="Q150" s="175"/>
      <c r="R150" s="202"/>
      <c r="S150" s="213"/>
      <c r="T150" s="173">
        <f>Q149-S149</f>
        <v>1918504106.3018868</v>
      </c>
      <c r="U150" s="162"/>
    </row>
    <row r="151" spans="1:24" x14ac:dyDescent="0.25">
      <c r="B151" s="127"/>
      <c r="C151" s="127"/>
      <c r="D151" s="174"/>
      <c r="E151" s="195"/>
      <c r="F151" s="174"/>
      <c r="G151" s="202"/>
      <c r="H151" s="202"/>
      <c r="I151" s="195"/>
      <c r="J151" s="176"/>
      <c r="K151" s="176"/>
      <c r="L151" s="175"/>
      <c r="M151" s="213"/>
      <c r="N151" s="175"/>
      <c r="O151" s="175"/>
      <c r="P151" s="175"/>
      <c r="Q151" s="177"/>
      <c r="R151" s="202"/>
      <c r="S151" s="213"/>
      <c r="T151" s="178"/>
      <c r="U151" s="162"/>
    </row>
    <row r="152" spans="1:24" ht="20.25" customHeight="1" x14ac:dyDescent="0.25">
      <c r="Q152" s="162"/>
      <c r="U152" s="162"/>
      <c r="W152"/>
      <c r="X152"/>
    </row>
    <row r="153" spans="1:24" ht="20.25" customHeight="1" x14ac:dyDescent="0.25">
      <c r="V153"/>
      <c r="W153"/>
      <c r="X153"/>
    </row>
    <row r="154" spans="1:24" ht="20.25" customHeight="1" x14ac:dyDescent="0.25">
      <c r="T154" s="67"/>
      <c r="U154"/>
      <c r="V154"/>
      <c r="W154"/>
      <c r="X154"/>
    </row>
    <row r="155" spans="1:24" ht="20.25" customHeight="1" x14ac:dyDescent="0.25">
      <c r="T155" s="15"/>
      <c r="U155"/>
      <c r="V155"/>
      <c r="W155"/>
      <c r="X155"/>
    </row>
    <row r="156" spans="1:24" ht="20.25" customHeight="1" x14ac:dyDescent="0.25">
      <c r="T156" s="242"/>
      <c r="U156" s="67"/>
      <c r="W156"/>
      <c r="X156"/>
    </row>
    <row r="157" spans="1:24" ht="20.25" customHeight="1" x14ac:dyDescent="0.25">
      <c r="T157" s="242"/>
      <c r="U157" s="67"/>
      <c r="W157"/>
      <c r="X157"/>
    </row>
    <row r="158" spans="1:24" ht="20.25" customHeight="1" x14ac:dyDescent="0.25">
      <c r="T158" s="67"/>
      <c r="U158" s="67"/>
      <c r="W158"/>
      <c r="X158"/>
    </row>
    <row r="159" spans="1:24" ht="20.25" customHeight="1" x14ac:dyDescent="0.25">
      <c r="T159" s="67"/>
      <c r="U159" s="67"/>
      <c r="W159"/>
      <c r="X159"/>
    </row>
    <row r="160" spans="1:24" ht="15" customHeight="1" x14ac:dyDescent="0.25">
      <c r="G160" s="203"/>
      <c r="H160" s="203"/>
      <c r="Q160" s="180"/>
      <c r="T160" s="67"/>
      <c r="U160" s="67"/>
      <c r="W160"/>
      <c r="X160"/>
    </row>
    <row r="161" spans="5:17" ht="15" customHeight="1" x14ac:dyDescent="0.25">
      <c r="G161" s="203"/>
      <c r="H161" s="203"/>
      <c r="Q161" s="162"/>
    </row>
    <row r="162" spans="5:17" ht="15" customHeight="1" x14ac:dyDescent="0.25">
      <c r="G162" s="203"/>
      <c r="H162" s="203"/>
      <c r="Q162" s="162"/>
    </row>
    <row r="163" spans="5:17" ht="15" customHeight="1" x14ac:dyDescent="0.25">
      <c r="E163" s="66"/>
      <c r="F163" s="182"/>
      <c r="G163" s="203"/>
      <c r="H163" s="203"/>
    </row>
    <row r="164" spans="5:17" ht="15" customHeight="1" x14ac:dyDescent="0.25">
      <c r="G164" s="203"/>
      <c r="H164" s="203"/>
      <c r="P164" s="183"/>
    </row>
    <row r="165" spans="5:17" ht="15" customHeight="1" x14ac:dyDescent="0.25">
      <c r="G165" s="203"/>
      <c r="H165" s="203"/>
      <c r="P165" s="181"/>
    </row>
    <row r="166" spans="5:17" ht="15" customHeight="1" x14ac:dyDescent="0.25">
      <c r="G166" s="203"/>
      <c r="H166" s="203"/>
      <c r="P166" s="181"/>
    </row>
    <row r="167" spans="5:17" ht="15" customHeight="1" x14ac:dyDescent="0.25">
      <c r="G167" s="203"/>
      <c r="H167" s="203"/>
    </row>
    <row r="168" spans="5:17" ht="15" customHeight="1" x14ac:dyDescent="0.25">
      <c r="G168" s="203"/>
      <c r="H168" s="203"/>
    </row>
    <row r="169" spans="5:17" ht="15.75" customHeight="1" x14ac:dyDescent="0.25"/>
    <row r="170" spans="5:17" ht="15" customHeight="1" x14ac:dyDescent="0.25"/>
    <row r="171" spans="5:17" ht="15" customHeight="1" x14ac:dyDescent="0.25"/>
    <row r="172" spans="5:17" ht="15" customHeight="1" x14ac:dyDescent="0.25">
      <c r="E172" s="70"/>
      <c r="F172" s="184"/>
    </row>
    <row r="173" spans="5:17" x14ac:dyDescent="0.25">
      <c r="E173" s="66"/>
      <c r="J173" s="185"/>
      <c r="K173" s="185"/>
      <c r="N173" s="186"/>
      <c r="O173" s="186"/>
      <c r="P173" s="186"/>
      <c r="Q173" s="186"/>
    </row>
    <row r="174" spans="5:17" x14ac:dyDescent="0.25">
      <c r="E174" s="66"/>
    </row>
    <row r="175" spans="5:17" x14ac:dyDescent="0.25">
      <c r="E175" s="66"/>
    </row>
    <row r="176" spans="5:17" x14ac:dyDescent="0.25">
      <c r="L176" s="187"/>
    </row>
    <row r="177" spans="10:11" x14ac:dyDescent="0.25">
      <c r="J177" s="188"/>
      <c r="K177" s="188"/>
    </row>
  </sheetData>
  <autoFilter ref="B7:Q147"/>
  <mergeCells count="19">
    <mergeCell ref="B3:Q3"/>
    <mergeCell ref="R3:T3"/>
    <mergeCell ref="B4:Q4"/>
    <mergeCell ref="R4:T4"/>
    <mergeCell ref="B5:Q5"/>
    <mergeCell ref="R5:T5"/>
    <mergeCell ref="D95:D96"/>
    <mergeCell ref="B109:B126"/>
    <mergeCell ref="B128:B143"/>
    <mergeCell ref="B8:B26"/>
    <mergeCell ref="D14:D15"/>
    <mergeCell ref="D18:D19"/>
    <mergeCell ref="B29:B107"/>
    <mergeCell ref="D43:D44"/>
    <mergeCell ref="D45:D46"/>
    <mergeCell ref="D47:D48"/>
    <mergeCell ref="D57:D58"/>
    <mergeCell ref="D73:D74"/>
    <mergeCell ref="D78:D79"/>
  </mergeCells>
  <pageMargins left="0.19685039370078741" right="0.27559055118110237" top="0.74803149606299213" bottom="0.74803149606299213" header="0.31496062992125984" footer="0.31496062992125984"/>
  <pageSetup paperSize="9" scale="52" fitToHeight="0" orientation="landscape" r:id="rId1"/>
  <rowBreaks count="1" manualBreakCount="1">
    <brk id="82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8" width="6.85546875" customWidth="1"/>
    <col min="9" max="9" width="14.42578125" hidden="1" customWidth="1"/>
    <col min="10" max="10" width="20.7109375" customWidth="1"/>
    <col min="11" max="11" width="5.5703125" customWidth="1"/>
    <col min="12" max="12" width="17.28515625" customWidth="1"/>
    <col min="13" max="13" width="18" customWidth="1"/>
    <col min="14" max="14" width="16.7109375" customWidth="1"/>
    <col min="15" max="15" width="16.28515625" customWidth="1"/>
    <col min="16" max="16" width="20.85546875" customWidth="1"/>
    <col min="17" max="17" width="21.5703125" hidden="1" customWidth="1"/>
    <col min="18" max="18" width="17.85546875" customWidth="1"/>
    <col min="19" max="19" width="15.140625" customWidth="1"/>
    <col min="20" max="20" width="16.140625" customWidth="1"/>
    <col min="21" max="21" width="15" bestFit="1" customWidth="1"/>
    <col min="22" max="22" width="16" bestFit="1" customWidth="1"/>
  </cols>
  <sheetData>
    <row r="3" spans="2:21" x14ac:dyDescent="0.25">
      <c r="B3" s="322" t="s">
        <v>0</v>
      </c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</row>
    <row r="4" spans="2:21" ht="27" customHeight="1" x14ac:dyDescent="0.25">
      <c r="B4" s="322" t="s">
        <v>1</v>
      </c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</row>
    <row r="5" spans="2:21" x14ac:dyDescent="0.25">
      <c r="B5" s="322" t="s">
        <v>169</v>
      </c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</row>
    <row r="6" spans="2:2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5.5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323" t="s">
        <v>9</v>
      </c>
      <c r="L7" s="323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25">
      <c r="B8" s="324" t="s">
        <v>80</v>
      </c>
      <c r="C8" s="18" t="s">
        <v>14</v>
      </c>
      <c r="D8" s="327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25">
      <c r="B9" s="325"/>
      <c r="C9" s="18" t="s">
        <v>14</v>
      </c>
      <c r="D9" s="327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25">
      <c r="B10" s="325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25">
      <c r="B11" s="325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25">
      <c r="B12" s="325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25">
      <c r="B13" s="325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25">
      <c r="B14" s="325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25">
      <c r="B15" s="325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25">
      <c r="B16" s="325"/>
      <c r="C16" s="18" t="s">
        <v>14</v>
      </c>
      <c r="D16" s="327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25">
      <c r="B17" s="325"/>
      <c r="C17" s="18" t="s">
        <v>14</v>
      </c>
      <c r="D17" s="327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25">
      <c r="B18" s="325"/>
      <c r="C18" s="18" t="s">
        <v>14</v>
      </c>
      <c r="D18" s="327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25">
      <c r="B19" s="325"/>
      <c r="C19" s="18" t="s">
        <v>14</v>
      </c>
      <c r="D19" s="327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25">
      <c r="B20" s="325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25">
      <c r="B21" s="325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25">
      <c r="B22" s="325"/>
      <c r="C22" s="18" t="s">
        <v>14</v>
      </c>
      <c r="D22" s="327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25">
      <c r="B23" s="325"/>
      <c r="C23" s="18" t="s">
        <v>14</v>
      </c>
      <c r="D23" s="327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25">
      <c r="B24" s="325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25">
      <c r="B25" s="325"/>
      <c r="C25" s="18" t="s">
        <v>14</v>
      </c>
      <c r="D25" s="327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25">
      <c r="B26" s="325"/>
      <c r="C26" s="18" t="s">
        <v>14</v>
      </c>
      <c r="D26" s="327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25">
      <c r="B27" s="325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25">
      <c r="B28" s="325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25">
      <c r="B29" s="325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25">
      <c r="B30" s="325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25">
      <c r="B31" s="325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25">
      <c r="B32" s="325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25">
      <c r="B33" s="325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25">
      <c r="B34" s="325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25">
      <c r="B35" s="325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25">
      <c r="B36" s="325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25">
      <c r="B37" s="325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25">
      <c r="B38" s="325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25">
      <c r="B39" s="325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25">
      <c r="B40" s="325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25">
      <c r="B41" s="326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25">
      <c r="B43" s="312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25">
      <c r="B44" s="313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25">
      <c r="B45" s="313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25">
      <c r="B46" s="313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25">
      <c r="B47" s="313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25">
      <c r="B48" s="313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25">
      <c r="B49" s="313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25">
      <c r="B50" s="313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25">
      <c r="B51" s="313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25">
      <c r="B52" s="313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25">
      <c r="B53" s="313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25">
      <c r="B54" s="313"/>
      <c r="C54" s="18" t="s">
        <v>14</v>
      </c>
      <c r="D54" s="319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25">
      <c r="B55" s="313"/>
      <c r="C55" s="18" t="s">
        <v>14</v>
      </c>
      <c r="D55" s="320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25">
      <c r="B56" s="313"/>
      <c r="C56" s="18" t="s">
        <v>14</v>
      </c>
      <c r="D56" s="319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25">
      <c r="B57" s="313"/>
      <c r="C57" s="18" t="s">
        <v>14</v>
      </c>
      <c r="D57" s="320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25">
      <c r="B58" s="313"/>
      <c r="C58" s="18" t="s">
        <v>14</v>
      </c>
      <c r="D58" s="319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25">
      <c r="B59" s="313"/>
      <c r="C59" s="18" t="s">
        <v>14</v>
      </c>
      <c r="D59" s="320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25">
      <c r="B60" s="313"/>
      <c r="C60" s="18" t="s">
        <v>14</v>
      </c>
      <c r="D60" s="319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25">
      <c r="B61" s="313"/>
      <c r="C61" s="18" t="s">
        <v>14</v>
      </c>
      <c r="D61" s="320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25">
      <c r="B62" s="313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25">
      <c r="B63" s="313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25">
      <c r="B64" s="313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25">
      <c r="B65" s="313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25">
      <c r="B66" s="313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25">
      <c r="B67" s="313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25">
      <c r="B68" s="313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25">
      <c r="B69" s="313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25">
      <c r="B70" s="313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25">
      <c r="B71" s="313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25">
      <c r="B72" s="313"/>
      <c r="C72" s="18" t="s">
        <v>14</v>
      </c>
      <c r="D72" s="319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25">
      <c r="B73" s="313"/>
      <c r="C73" s="18" t="s">
        <v>14</v>
      </c>
      <c r="D73" s="321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25">
      <c r="B74" s="313"/>
      <c r="C74" s="18" t="s">
        <v>14</v>
      </c>
      <c r="D74" s="321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25">
      <c r="B75" s="313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25">
      <c r="B76" s="313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25">
      <c r="B77" s="313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25">
      <c r="B78" s="313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25">
      <c r="B79" s="313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25">
      <c r="B80" s="313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25">
      <c r="B81" s="313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25">
      <c r="B82" s="313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294"/>
    </row>
    <row r="83" spans="2:17" x14ac:dyDescent="0.25">
      <c r="B83" s="313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294"/>
    </row>
    <row r="84" spans="2:17" x14ac:dyDescent="0.25">
      <c r="B84" s="313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25">
      <c r="B85" s="313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25">
      <c r="B86" s="313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25">
      <c r="B87" s="313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25">
      <c r="B88" s="313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25">
      <c r="B89" s="313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25">
      <c r="B90" s="313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25">
      <c r="B91" s="313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25">
      <c r="B92" s="313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25">
      <c r="B93" s="313"/>
      <c r="C93" s="36" t="s">
        <v>14</v>
      </c>
      <c r="D93" s="308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25">
      <c r="B94" s="313"/>
      <c r="C94" s="36" t="s">
        <v>14</v>
      </c>
      <c r="D94" s="309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25">
      <c r="B95" s="313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25">
      <c r="B96" s="313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25">
      <c r="B97" s="313"/>
      <c r="C97" s="36" t="s">
        <v>14</v>
      </c>
      <c r="D97" s="310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25">
      <c r="B98" s="313"/>
      <c r="C98" s="37" t="s">
        <v>14</v>
      </c>
      <c r="D98" s="311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25">
      <c r="B99" s="313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25">
      <c r="B100" s="313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25">
      <c r="B101" s="313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25">
      <c r="B102" s="313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25">
      <c r="B103" s="313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25">
      <c r="B104" s="313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25">
      <c r="B105" s="313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25">
      <c r="B106" s="318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25">
      <c r="B108" s="312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25">
      <c r="B109" s="313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25">
      <c r="B110" s="313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25">
      <c r="B111" s="313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25">
      <c r="B112" s="313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25">
      <c r="B113" s="313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25">
      <c r="B114" s="313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25">
      <c r="B115" s="313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25">
      <c r="B116" s="313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25">
      <c r="B117" s="313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25">
      <c r="B118" s="313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25">
      <c r="B119" s="313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25">
      <c r="B120" s="313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25">
      <c r="B121" s="313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25">
      <c r="B122" s="313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25">
      <c r="B123" s="313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25">
      <c r="B124" s="313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25">
      <c r="B125" s="313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25">
      <c r="B126" s="313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25">
      <c r="B127" s="313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25">
      <c r="B128" s="313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25">
      <c r="B130" s="314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25">
      <c r="B131" s="315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25">
      <c r="B132" s="315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25">
      <c r="B133" s="315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25">
      <c r="B134" s="315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25">
      <c r="B135" s="315"/>
      <c r="C135" s="317" t="s">
        <v>14</v>
      </c>
      <c r="D135" s="308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25">
      <c r="B136" s="315"/>
      <c r="C136" s="317"/>
      <c r="D136" s="309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25">
      <c r="B137" s="315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25">
      <c r="B138" s="315"/>
      <c r="C138" s="68" t="s">
        <v>14</v>
      </c>
      <c r="D138" s="308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25">
      <c r="B139" s="315"/>
      <c r="C139" s="68" t="s">
        <v>14</v>
      </c>
      <c r="D139" s="309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25">
      <c r="B140" s="315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25">
      <c r="B141" s="315"/>
      <c r="C141" s="68" t="s">
        <v>14</v>
      </c>
      <c r="D141" s="308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25">
      <c r="B142" s="315"/>
      <c r="C142" s="68" t="s">
        <v>14</v>
      </c>
      <c r="D142" s="309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25">
      <c r="B143" s="315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25">
      <c r="B144" s="316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25">
      <c r="B146" s="307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25">
      <c r="B147" s="307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25">
      <c r="B148" s="307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25">
      <c r="B149" s="307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25">
      <c r="B150" s="307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2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25">
      <c r="M156">
        <v>943022255</v>
      </c>
      <c r="P156" s="15"/>
    </row>
    <row r="157" spans="2:17" ht="15" hidden="1" customHeight="1" x14ac:dyDescent="0.2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2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2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2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2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25"/>
    <row r="173" spans="6:17" ht="15" hidden="1" customHeight="1" x14ac:dyDescent="0.2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2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25">
      <c r="F175" t="e">
        <f>+#REF!</f>
        <v>#REF!</v>
      </c>
    </row>
    <row r="176" spans="6:17" x14ac:dyDescent="0.25">
      <c r="N176" s="16"/>
    </row>
    <row r="177" spans="5:22" ht="15" hidden="1" customHeight="1" x14ac:dyDescent="0.2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2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2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2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2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2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2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2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2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2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2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2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2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2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2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2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2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2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25">
      <c r="P195" s="58"/>
      <c r="Q195" s="58" t="e">
        <f>+Q188+Q191+Q192+Q193</f>
        <v>#REF!</v>
      </c>
    </row>
    <row r="196" spans="5:20" ht="15.75" hidden="1" customHeight="1" x14ac:dyDescent="0.25">
      <c r="Q196" s="15" t="e">
        <f>+Q195-P155</f>
        <v>#REF!</v>
      </c>
      <c r="R196" t="s">
        <v>168</v>
      </c>
    </row>
    <row r="197" spans="5:20" ht="15" hidden="1" customHeight="1" x14ac:dyDescent="0.2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2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2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2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2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2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2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2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2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2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2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2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2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2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25">
      <c r="F211" s="67"/>
      <c r="G211" s="83"/>
      <c r="H211" s="83"/>
      <c r="T211">
        <f>+T210*19%</f>
        <v>18500153.7874</v>
      </c>
    </row>
    <row r="212" spans="5:20" ht="15.75" hidden="1" customHeight="1" x14ac:dyDescent="0.25">
      <c r="F212" s="67"/>
      <c r="T212">
        <f>SUM(T197:T211)</f>
        <v>992192457.99740005</v>
      </c>
    </row>
    <row r="213" spans="5:20" ht="15" hidden="1" customHeight="1" x14ac:dyDescent="0.25">
      <c r="F213" s="67"/>
    </row>
    <row r="214" spans="5:20" ht="15" hidden="1" customHeight="1" x14ac:dyDescent="0.25">
      <c r="E214" s="67"/>
      <c r="F214" s="67"/>
    </row>
    <row r="215" spans="5:20" ht="15" hidden="1" customHeight="1" x14ac:dyDescent="0.25">
      <c r="E215" s="76"/>
      <c r="F215" s="70"/>
    </row>
    <row r="216" spans="5:20" x14ac:dyDescent="0.25">
      <c r="E216" s="82"/>
      <c r="J216" s="80"/>
      <c r="P216" s="15" t="e">
        <f>+P155-#REF!</f>
        <v>#REF!</v>
      </c>
    </row>
    <row r="217" spans="5:20" x14ac:dyDescent="0.25">
      <c r="E217" s="82"/>
      <c r="J217" s="58"/>
    </row>
    <row r="218" spans="5:20" x14ac:dyDescent="0.25">
      <c r="E218" s="82"/>
    </row>
    <row r="219" spans="5:20" x14ac:dyDescent="0.25">
      <c r="K219" s="114"/>
    </row>
    <row r="220" spans="5:20" x14ac:dyDescent="0.25">
      <c r="I220">
        <v>15</v>
      </c>
      <c r="J220" s="115"/>
    </row>
  </sheetData>
  <autoFilter ref="B7:V153">
    <filterColumn colId="9" showButton="0"/>
  </autoFilter>
  <mergeCells count="26"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8"/>
  <sheetViews>
    <sheetView workbookViewId="0">
      <selection activeCell="P155" sqref="P155"/>
    </sheetView>
  </sheetViews>
  <sheetFormatPr baseColWidth="10" defaultRowHeight="15" x14ac:dyDescent="0.25"/>
  <cols>
    <col min="5" max="5" width="16.140625" customWidth="1"/>
    <col min="6" max="6" width="18.85546875" customWidth="1"/>
    <col min="7" max="7" width="19.85546875" customWidth="1"/>
  </cols>
  <sheetData>
    <row r="4" spans="5:7" x14ac:dyDescent="0.25">
      <c r="E4" s="328" t="s">
        <v>196</v>
      </c>
      <c r="F4" s="328"/>
      <c r="G4" s="328"/>
    </row>
    <row r="5" spans="5:7" x14ac:dyDescent="0.25">
      <c r="E5" s="117" t="s">
        <v>191</v>
      </c>
      <c r="F5" s="117" t="s">
        <v>192</v>
      </c>
      <c r="G5" s="117" t="s">
        <v>193</v>
      </c>
    </row>
    <row r="6" spans="5:7" x14ac:dyDescent="0.25">
      <c r="E6" s="67" t="s">
        <v>195</v>
      </c>
      <c r="F6" s="116" t="s">
        <v>194</v>
      </c>
      <c r="G6" s="119">
        <v>1093956735.2610412</v>
      </c>
    </row>
    <row r="7" spans="5:7" x14ac:dyDescent="0.25">
      <c r="E7" s="67" t="s">
        <v>195</v>
      </c>
      <c r="F7" s="116" t="s">
        <v>197</v>
      </c>
      <c r="G7" s="119">
        <v>1093956735.2610412</v>
      </c>
    </row>
    <row r="8" spans="5:7" x14ac:dyDescent="0.2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7" width="6.85546875" customWidth="1"/>
    <col min="8" max="8" width="9.7109375" customWidth="1"/>
    <col min="9" max="9" width="12.28515625" customWidth="1"/>
    <col min="10" max="10" width="21.140625" customWidth="1"/>
    <col min="11" max="11" width="24" customWidth="1"/>
    <col min="12" max="12" width="20.7109375" customWidth="1"/>
    <col min="13" max="13" width="5.5703125" customWidth="1"/>
    <col min="14" max="14" width="17.28515625" customWidth="1"/>
    <col min="15" max="15" width="18" customWidth="1"/>
    <col min="16" max="16" width="16.7109375" customWidth="1"/>
    <col min="17" max="17" width="16.28515625" customWidth="1"/>
    <col min="18" max="18" width="20.85546875" customWidth="1"/>
    <col min="19" max="19" width="21.5703125" hidden="1" customWidth="1"/>
    <col min="20" max="20" width="17.85546875" customWidth="1"/>
    <col min="21" max="21" width="15.140625" customWidth="1"/>
    <col min="22" max="22" width="16.140625" customWidth="1"/>
    <col min="23" max="23" width="15" bestFit="1" customWidth="1"/>
    <col min="24" max="24" width="16" bestFit="1" customWidth="1"/>
  </cols>
  <sheetData>
    <row r="3" spans="2:23" x14ac:dyDescent="0.25">
      <c r="B3" s="322" t="s">
        <v>0</v>
      </c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</row>
    <row r="4" spans="2:23" ht="27" customHeight="1" x14ac:dyDescent="0.25">
      <c r="B4" s="322" t="s">
        <v>1</v>
      </c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</row>
    <row r="5" spans="2:23" x14ac:dyDescent="0.25">
      <c r="B5" s="322" t="s">
        <v>169</v>
      </c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2:23" x14ac:dyDescent="0.25">
      <c r="B6" s="97"/>
      <c r="C6" s="97"/>
      <c r="D6" s="97"/>
      <c r="E6" s="97"/>
      <c r="F6" s="97"/>
      <c r="G6" s="97"/>
      <c r="H6" s="97"/>
      <c r="I6" s="97"/>
      <c r="J6" s="329" t="s">
        <v>188</v>
      </c>
      <c r="K6" s="330"/>
      <c r="L6" s="97"/>
      <c r="M6" s="97"/>
      <c r="N6" s="97"/>
      <c r="O6" s="97"/>
      <c r="P6" s="97"/>
      <c r="Q6" s="97"/>
      <c r="R6" s="97"/>
    </row>
    <row r="7" spans="2:23" ht="27" customHeight="1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323" t="s">
        <v>9</v>
      </c>
      <c r="N7" s="323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25">
      <c r="B8" s="324" t="s">
        <v>80</v>
      </c>
      <c r="C8" s="18" t="s">
        <v>14</v>
      </c>
      <c r="D8" s="327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25">
      <c r="B9" s="325"/>
      <c r="C9" s="18" t="s">
        <v>14</v>
      </c>
      <c r="D9" s="327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25">
      <c r="B10" s="325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25">
      <c r="B11" s="325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25">
      <c r="B12" s="325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25">
      <c r="B13" s="325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25">
      <c r="B14" s="325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25">
      <c r="B15" s="325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25">
      <c r="B16" s="325"/>
      <c r="C16" s="18" t="s">
        <v>14</v>
      </c>
      <c r="D16" s="327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25">
      <c r="B17" s="325"/>
      <c r="C17" s="18" t="s">
        <v>14</v>
      </c>
      <c r="D17" s="327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25">
      <c r="B18" s="325"/>
      <c r="C18" s="18" t="s">
        <v>14</v>
      </c>
      <c r="D18" s="327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25">
      <c r="B19" s="325"/>
      <c r="C19" s="18" t="s">
        <v>14</v>
      </c>
      <c r="D19" s="327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25">
      <c r="B20" s="325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25">
      <c r="B21" s="325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25">
      <c r="B22" s="325"/>
      <c r="C22" s="18" t="s">
        <v>14</v>
      </c>
      <c r="D22" s="327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25">
      <c r="B23" s="325"/>
      <c r="C23" s="18" t="s">
        <v>14</v>
      </c>
      <c r="D23" s="327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25">
      <c r="B24" s="325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25">
      <c r="B25" s="325"/>
      <c r="C25" s="18" t="s">
        <v>14</v>
      </c>
      <c r="D25" s="327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25">
      <c r="B26" s="325"/>
      <c r="C26" s="18" t="s">
        <v>14</v>
      </c>
      <c r="D26" s="327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25">
      <c r="B27" s="325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25">
      <c r="B28" s="325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25">
      <c r="B29" s="325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25">
      <c r="B30" s="325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25">
      <c r="B31" s="325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25">
      <c r="B32" s="325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25">
      <c r="B33" s="325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25">
      <c r="B34" s="325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25">
      <c r="B35" s="325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25">
      <c r="B36" s="325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25">
      <c r="B37" s="325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25">
      <c r="B38" s="325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25">
      <c r="B39" s="325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25">
      <c r="B40" s="325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25">
      <c r="B41" s="326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25">
      <c r="B43" s="312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25">
      <c r="B44" s="313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25">
      <c r="B45" s="313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25">
      <c r="B46" s="313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25">
      <c r="B47" s="313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25">
      <c r="B48" s="313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25">
      <c r="B49" s="313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25">
      <c r="B50" s="313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25">
      <c r="B51" s="313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25">
      <c r="B52" s="313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25">
      <c r="B53" s="313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25">
      <c r="B54" s="313"/>
      <c r="C54" s="18" t="s">
        <v>14</v>
      </c>
      <c r="D54" s="319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25">
      <c r="B55" s="313"/>
      <c r="C55" s="18" t="s">
        <v>14</v>
      </c>
      <c r="D55" s="320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25">
      <c r="B56" s="313"/>
      <c r="C56" s="18" t="s">
        <v>14</v>
      </c>
      <c r="D56" s="319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25">
      <c r="B57" s="313"/>
      <c r="C57" s="18" t="s">
        <v>14</v>
      </c>
      <c r="D57" s="320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25">
      <c r="B58" s="313"/>
      <c r="C58" s="18" t="s">
        <v>14</v>
      </c>
      <c r="D58" s="319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25">
      <c r="B59" s="313"/>
      <c r="C59" s="18" t="s">
        <v>14</v>
      </c>
      <c r="D59" s="320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25">
      <c r="B60" s="313"/>
      <c r="C60" s="18" t="s">
        <v>14</v>
      </c>
      <c r="D60" s="319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25">
      <c r="B61" s="313"/>
      <c r="C61" s="18" t="s">
        <v>14</v>
      </c>
      <c r="D61" s="320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25">
      <c r="B62" s="313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25">
      <c r="B63" s="313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25">
      <c r="B64" s="313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25">
      <c r="B65" s="313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25">
      <c r="B66" s="313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25">
      <c r="B67" s="313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25">
      <c r="B68" s="313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25">
      <c r="B69" s="313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25">
      <c r="B70" s="313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25">
      <c r="B71" s="313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25">
      <c r="B72" s="313"/>
      <c r="C72" s="18" t="s">
        <v>14</v>
      </c>
      <c r="D72" s="319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25">
      <c r="B73" s="313"/>
      <c r="C73" s="18" t="s">
        <v>14</v>
      </c>
      <c r="D73" s="321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25">
      <c r="B74" s="313"/>
      <c r="C74" s="18" t="s">
        <v>14</v>
      </c>
      <c r="D74" s="321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25">
      <c r="B75" s="313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25">
      <c r="B76" s="313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25">
      <c r="B77" s="313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25">
      <c r="B78" s="313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25">
      <c r="B79" s="313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25">
      <c r="B80" s="313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25">
      <c r="B81" s="313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25">
      <c r="B82" s="313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294"/>
    </row>
    <row r="83" spans="2:19" x14ac:dyDescent="0.25">
      <c r="B83" s="313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294"/>
    </row>
    <row r="84" spans="2:19" x14ac:dyDescent="0.25">
      <c r="B84" s="313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25">
      <c r="B85" s="313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25">
      <c r="B86" s="313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25">
      <c r="B87" s="313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25">
      <c r="B88" s="313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25">
      <c r="B89" s="313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25">
      <c r="B90" s="313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25">
      <c r="B91" s="313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25">
      <c r="B92" s="313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25">
      <c r="B93" s="313"/>
      <c r="C93" s="36" t="s">
        <v>14</v>
      </c>
      <c r="D93" s="308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25">
      <c r="B94" s="313"/>
      <c r="C94" s="36" t="s">
        <v>14</v>
      </c>
      <c r="D94" s="309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25">
      <c r="B95" s="313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25">
      <c r="B96" s="313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25">
      <c r="B97" s="313"/>
      <c r="C97" s="36" t="s">
        <v>14</v>
      </c>
      <c r="D97" s="310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25">
      <c r="B98" s="313"/>
      <c r="C98" s="37" t="s">
        <v>14</v>
      </c>
      <c r="D98" s="311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25">
      <c r="B99" s="313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25">
      <c r="B100" s="313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25">
      <c r="B101" s="313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25">
      <c r="B102" s="313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25">
      <c r="B103" s="313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25">
      <c r="B104" s="313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25">
      <c r="B105" s="313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25">
      <c r="B106" s="318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25">
      <c r="B108" s="312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25">
      <c r="B109" s="313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25">
      <c r="B110" s="313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25">
      <c r="B111" s="313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25">
      <c r="B112" s="313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25">
      <c r="B113" s="313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25">
      <c r="B114" s="313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25">
      <c r="B115" s="313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25">
      <c r="B116" s="313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25">
      <c r="B117" s="313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25">
      <c r="B118" s="313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25">
      <c r="B119" s="313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25">
      <c r="B120" s="313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25">
      <c r="B121" s="313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25">
      <c r="B122" s="313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25">
      <c r="B123" s="313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25">
      <c r="B124" s="313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25">
      <c r="B125" s="313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25">
      <c r="B126" s="313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25">
      <c r="B127" s="313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25">
      <c r="B128" s="313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25">
      <c r="B130" s="314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25">
      <c r="B131" s="315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25">
      <c r="B132" s="315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25">
      <c r="B133" s="315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25">
      <c r="B134" s="315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25">
      <c r="B135" s="315"/>
      <c r="C135" s="317" t="s">
        <v>14</v>
      </c>
      <c r="D135" s="308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25">
      <c r="B136" s="315"/>
      <c r="C136" s="317"/>
      <c r="D136" s="309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25">
      <c r="B137" s="315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25">
      <c r="B138" s="315"/>
      <c r="C138" s="68" t="s">
        <v>14</v>
      </c>
      <c r="D138" s="308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25">
      <c r="B139" s="315"/>
      <c r="C139" s="68" t="s">
        <v>14</v>
      </c>
      <c r="D139" s="309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25">
      <c r="B140" s="315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25">
      <c r="B141" s="315"/>
      <c r="C141" s="68" t="s">
        <v>14</v>
      </c>
      <c r="D141" s="308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25">
      <c r="B142" s="315"/>
      <c r="C142" s="68" t="s">
        <v>14</v>
      </c>
      <c r="D142" s="309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25">
      <c r="B143" s="315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25">
      <c r="B144" s="316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25">
      <c r="B146" s="307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25">
      <c r="B147" s="307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25">
      <c r="B148" s="307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25">
      <c r="B149" s="307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25">
      <c r="B150" s="307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2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25">
      <c r="O156">
        <v>943022255</v>
      </c>
      <c r="R156" s="15"/>
    </row>
    <row r="157" spans="2:19" ht="15" hidden="1" customHeight="1" x14ac:dyDescent="0.2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2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2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2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2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25"/>
    <row r="173" spans="6:19" ht="15" hidden="1" customHeight="1" x14ac:dyDescent="0.2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2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25">
      <c r="F175" t="e">
        <f>+#REF!</f>
        <v>#REF!</v>
      </c>
    </row>
    <row r="176" spans="6:19" x14ac:dyDescent="0.25">
      <c r="P176" s="16"/>
    </row>
    <row r="177" spans="5:24" ht="15" hidden="1" customHeight="1" x14ac:dyDescent="0.2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2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2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2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2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2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2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2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2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2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2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2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2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2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2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2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2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2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25">
      <c r="R195" s="58"/>
      <c r="S195" s="58" t="e">
        <f>+S188+S191+S192+S193</f>
        <v>#REF!</v>
      </c>
    </row>
    <row r="196" spans="5:22" ht="15.75" hidden="1" customHeight="1" x14ac:dyDescent="0.25">
      <c r="S196" s="15" t="e">
        <f>+S195-R155</f>
        <v>#REF!</v>
      </c>
      <c r="T196" t="s">
        <v>168</v>
      </c>
    </row>
    <row r="197" spans="5:22" ht="15" hidden="1" customHeight="1" x14ac:dyDescent="0.2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2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2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2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2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2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2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2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2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2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2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2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2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2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25">
      <c r="F211" s="67"/>
      <c r="G211" s="83"/>
      <c r="H211" s="83"/>
      <c r="V211">
        <f>+V210*19%</f>
        <v>18500153.7874</v>
      </c>
    </row>
    <row r="212" spans="5:22" ht="15.75" hidden="1" customHeight="1" x14ac:dyDescent="0.25">
      <c r="F212" s="67"/>
      <c r="V212">
        <f>SUM(V197:V211)</f>
        <v>992192457.99740005</v>
      </c>
    </row>
    <row r="213" spans="5:22" ht="15" hidden="1" customHeight="1" x14ac:dyDescent="0.25">
      <c r="F213" s="67"/>
    </row>
    <row r="214" spans="5:22" ht="15" hidden="1" customHeight="1" x14ac:dyDescent="0.25">
      <c r="E214" s="67"/>
      <c r="F214" s="67"/>
    </row>
    <row r="215" spans="5:22" ht="15" hidden="1" customHeight="1" x14ac:dyDescent="0.25">
      <c r="E215" s="76"/>
      <c r="F215" s="70"/>
    </row>
    <row r="216" spans="5:22" x14ac:dyDescent="0.25">
      <c r="E216" s="82"/>
    </row>
    <row r="217" spans="5:22" x14ac:dyDescent="0.25">
      <c r="E217" s="82"/>
    </row>
    <row r="218" spans="5:22" x14ac:dyDescent="0.25">
      <c r="E218" s="82"/>
    </row>
    <row r="219" spans="5:22" x14ac:dyDescent="0.25">
      <c r="M219" s="114"/>
    </row>
    <row r="220" spans="5:22" x14ac:dyDescent="0.25">
      <c r="I220">
        <v>15</v>
      </c>
    </row>
  </sheetData>
  <autoFilter ref="B7:X153">
    <filterColumn colId="11" showButton="0"/>
  </autoFilter>
  <mergeCells count="27"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8:B41"/>
    <mergeCell ref="D8:D9"/>
    <mergeCell ref="D16:D17"/>
    <mergeCell ref="D18:D19"/>
    <mergeCell ref="D22:D23"/>
    <mergeCell ref="D25:D26"/>
    <mergeCell ref="B3:R3"/>
    <mergeCell ref="B4:R4"/>
    <mergeCell ref="B5:R5"/>
    <mergeCell ref="J6:K6"/>
    <mergeCell ref="M7:N7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80.85546875" customWidth="1"/>
    <col min="6" max="6" width="39" customWidth="1"/>
    <col min="7" max="7" width="6.85546875" customWidth="1"/>
    <col min="8" max="8" width="7" customWidth="1"/>
    <col min="9" max="9" width="20.7109375" customWidth="1"/>
    <col min="10" max="10" width="5.5703125" customWidth="1"/>
    <col min="11" max="11" width="17.28515625" customWidth="1"/>
    <col min="12" max="12" width="18" customWidth="1"/>
    <col min="13" max="13" width="16.7109375" customWidth="1"/>
    <col min="14" max="14" width="16.28515625" customWidth="1"/>
    <col min="15" max="15" width="20.85546875" customWidth="1"/>
    <col min="16" max="16" width="21.5703125" customWidth="1"/>
    <col min="17" max="17" width="17.85546875" customWidth="1"/>
    <col min="18" max="18" width="13.85546875" bestFit="1" customWidth="1"/>
  </cols>
  <sheetData>
    <row r="3" spans="2:18" x14ac:dyDescent="0.25">
      <c r="B3" s="331" t="s">
        <v>0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</row>
    <row r="4" spans="2:18" ht="27" customHeight="1" x14ac:dyDescent="0.25">
      <c r="B4" s="331" t="s">
        <v>1</v>
      </c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</row>
    <row r="5" spans="2:18" x14ac:dyDescent="0.25">
      <c r="B5" s="331" t="s">
        <v>151</v>
      </c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</row>
    <row r="6" spans="2:18" ht="22.5" x14ac:dyDescent="0.2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332" t="s">
        <v>9</v>
      </c>
      <c r="K6" s="332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25">
      <c r="B7" s="324" t="s">
        <v>80</v>
      </c>
      <c r="C7" s="18" t="s">
        <v>14</v>
      </c>
      <c r="D7" s="327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25">
      <c r="B8" s="325"/>
      <c r="C8" s="18" t="s">
        <v>14</v>
      </c>
      <c r="D8" s="327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25">
      <c r="B9" s="325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25">
      <c r="B10" s="325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25">
      <c r="B11" s="325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25">
      <c r="B12" s="325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25">
      <c r="B13" s="325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25">
      <c r="B14" s="325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25">
      <c r="B15" s="325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25">
      <c r="B16" s="325"/>
      <c r="C16" s="18" t="s">
        <v>14</v>
      </c>
      <c r="D16" s="327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25">
      <c r="B17" s="325"/>
      <c r="C17" s="18" t="s">
        <v>14</v>
      </c>
      <c r="D17" s="327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25">
      <c r="B18" s="325"/>
      <c r="C18" s="18" t="s">
        <v>14</v>
      </c>
      <c r="D18" s="327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25">
      <c r="B19" s="325"/>
      <c r="C19" s="18" t="s">
        <v>14</v>
      </c>
      <c r="D19" s="327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25">
      <c r="B20" s="325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25">
      <c r="B21" s="325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25">
      <c r="B22" s="325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25">
      <c r="B23" s="325"/>
      <c r="C23" s="18" t="s">
        <v>14</v>
      </c>
      <c r="D23" s="327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25">
      <c r="B24" s="325"/>
      <c r="C24" s="18" t="s">
        <v>14</v>
      </c>
      <c r="D24" s="327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25">
      <c r="B25" s="325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25">
      <c r="B26" s="325"/>
      <c r="C26" s="18" t="s">
        <v>14</v>
      </c>
      <c r="D26" s="327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25">
      <c r="B27" s="325"/>
      <c r="C27" s="18" t="s">
        <v>14</v>
      </c>
      <c r="D27" s="327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25">
      <c r="B28" s="325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25">
      <c r="B29" s="325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25">
      <c r="B30" s="325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25">
      <c r="B31" s="325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25">
      <c r="B32" s="325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25">
      <c r="B33" s="325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25">
      <c r="B34" s="325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25">
      <c r="B35" s="325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25">
      <c r="B36" s="325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25">
      <c r="B37" s="325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25">
      <c r="B38" s="326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2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25">
      <c r="B40" s="312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25">
      <c r="B41" s="313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25">
      <c r="B42" s="313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25">
      <c r="B43" s="313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25">
      <c r="B44" s="313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25">
      <c r="B45" s="313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25">
      <c r="B46" s="313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25">
      <c r="B47" s="313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25">
      <c r="B48" s="313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25">
      <c r="B49" s="313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25">
      <c r="B50" s="313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25">
      <c r="B51" s="313"/>
      <c r="C51" s="18" t="s">
        <v>14</v>
      </c>
      <c r="D51" s="319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25">
      <c r="B52" s="313"/>
      <c r="C52" s="18" t="s">
        <v>14</v>
      </c>
      <c r="D52" s="320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25">
      <c r="B53" s="313"/>
      <c r="C53" s="18" t="s">
        <v>14</v>
      </c>
      <c r="D53" s="319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25">
      <c r="B54" s="313"/>
      <c r="C54" s="18" t="s">
        <v>14</v>
      </c>
      <c r="D54" s="320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25">
      <c r="B55" s="313"/>
      <c r="C55" s="18" t="s">
        <v>14</v>
      </c>
      <c r="D55" s="319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25">
      <c r="B56" s="313"/>
      <c r="C56" s="18" t="s">
        <v>14</v>
      </c>
      <c r="D56" s="320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25">
      <c r="B57" s="313"/>
      <c r="C57" s="18" t="s">
        <v>14</v>
      </c>
      <c r="D57" s="319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25">
      <c r="B58" s="313"/>
      <c r="C58" s="18" t="s">
        <v>14</v>
      </c>
      <c r="D58" s="320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25">
      <c r="B59" s="313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25">
      <c r="B60" s="313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25">
      <c r="B61" s="313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25">
      <c r="B62" s="313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25">
      <c r="B63" s="313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25">
      <c r="B64" s="313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25">
      <c r="B65" s="313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25">
      <c r="B66" s="313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25">
      <c r="B67" s="313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25">
      <c r="B68" s="313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25">
      <c r="B69" s="313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25">
      <c r="B70" s="313"/>
      <c r="C70" s="18" t="s">
        <v>14</v>
      </c>
      <c r="D70" s="319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25">
      <c r="B71" s="313"/>
      <c r="C71" s="18" t="s">
        <v>14</v>
      </c>
      <c r="D71" s="321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25">
      <c r="B72" s="313"/>
      <c r="C72" s="18" t="s">
        <v>14</v>
      </c>
      <c r="D72" s="321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25">
      <c r="B73" s="313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25">
      <c r="B74" s="313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25">
      <c r="B75" s="313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25">
      <c r="B76" s="313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25">
      <c r="B77" s="313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25">
      <c r="B78" s="313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25">
      <c r="B79" s="313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25">
      <c r="B80" s="313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25">
      <c r="B81" s="313"/>
      <c r="C81" s="18" t="s">
        <v>14</v>
      </c>
      <c r="D81" s="319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294"/>
      <c r="R81">
        <f t="shared" si="13"/>
        <v>1</v>
      </c>
    </row>
    <row r="82" spans="2:18" x14ac:dyDescent="0.25">
      <c r="B82" s="313"/>
      <c r="C82" s="18" t="s">
        <v>14</v>
      </c>
      <c r="D82" s="321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294"/>
      <c r="R82">
        <f t="shared" si="13"/>
        <v>1</v>
      </c>
    </row>
    <row r="83" spans="2:18" x14ac:dyDescent="0.25">
      <c r="B83" s="313"/>
      <c r="C83" s="18" t="s">
        <v>14</v>
      </c>
      <c r="D83" s="320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25">
      <c r="B84" s="313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25">
      <c r="B85" s="313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25">
      <c r="B86" s="313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25">
      <c r="B87" s="313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25">
      <c r="B88" s="313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25">
      <c r="B89" s="313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25">
      <c r="B90" s="313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25">
      <c r="B91" s="313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25">
      <c r="B92" s="313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25">
      <c r="B93" s="313"/>
      <c r="C93" s="36" t="s">
        <v>14</v>
      </c>
      <c r="D93" s="308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25">
      <c r="B94" s="313"/>
      <c r="C94" s="36" t="s">
        <v>14</v>
      </c>
      <c r="D94" s="309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25">
      <c r="B95" s="313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25">
      <c r="B96" s="313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25">
      <c r="B97" s="313"/>
      <c r="C97" s="36" t="s">
        <v>14</v>
      </c>
      <c r="D97" s="308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25">
      <c r="B98" s="313"/>
      <c r="C98" s="37" t="s">
        <v>14</v>
      </c>
      <c r="D98" s="309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25">
      <c r="B99" s="313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25">
      <c r="B100" s="313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25">
      <c r="B101" s="313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25">
      <c r="B102" s="313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25">
      <c r="B103" s="318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2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25">
      <c r="B105" s="312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25">
      <c r="B106" s="313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25">
      <c r="B107" s="313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25">
      <c r="B108" s="313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25">
      <c r="B109" s="313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25">
      <c r="B110" s="313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25">
      <c r="B111" s="313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25">
      <c r="B112" s="313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25">
      <c r="B113" s="313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25">
      <c r="B114" s="313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25">
      <c r="B115" s="313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25">
      <c r="B116" s="313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25">
      <c r="B117" s="313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25">
      <c r="B118" s="313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25">
      <c r="B119" s="313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25">
      <c r="B120" s="313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25">
      <c r="B121" s="313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25">
      <c r="B122" s="313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25">
      <c r="B123" s="313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25">
      <c r="B124" s="313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25">
      <c r="B125" s="313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25">
      <c r="B126" s="313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25">
      <c r="B127" s="313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2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25">
      <c r="B129" s="314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25">
      <c r="B130" s="315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25">
      <c r="B131" s="315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25">
      <c r="B132" s="315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25">
      <c r="B133" s="315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25">
      <c r="B134" s="315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25">
      <c r="B135" s="315"/>
      <c r="C135" s="317" t="s">
        <v>14</v>
      </c>
      <c r="D135" s="308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25">
      <c r="B136" s="315"/>
      <c r="C136" s="317"/>
      <c r="D136" s="309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25">
      <c r="B137" s="315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25">
      <c r="B138" s="315"/>
      <c r="C138" s="68" t="s">
        <v>14</v>
      </c>
      <c r="D138" s="308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25">
      <c r="B139" s="315"/>
      <c r="C139" s="68" t="s">
        <v>14</v>
      </c>
      <c r="D139" s="309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25">
      <c r="B140" s="315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25">
      <c r="B141" s="315"/>
      <c r="C141" s="68" t="s">
        <v>14</v>
      </c>
      <c r="D141" s="308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25">
      <c r="B142" s="315"/>
      <c r="C142" s="68" t="s">
        <v>14</v>
      </c>
      <c r="D142" s="309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25">
      <c r="B143" s="315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25">
      <c r="B144" s="316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2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25">
      <c r="B146" s="333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25">
      <c r="B147" s="334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25">
      <c r="B148" s="334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25">
      <c r="B149" s="334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25">
      <c r="B150" s="334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2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25">
      <c r="I152" s="15"/>
      <c r="J152" s="15"/>
      <c r="K152" s="15"/>
      <c r="L152" s="15"/>
      <c r="M152" s="15"/>
      <c r="N152" s="15"/>
      <c r="O152" s="15"/>
    </row>
    <row r="153" spans="2:18" x14ac:dyDescent="0.2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2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2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2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2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2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2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2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2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2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2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2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2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2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2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25">
      <c r="I169" s="17"/>
      <c r="J169" s="19"/>
      <c r="K169" s="17"/>
      <c r="L169" s="17"/>
      <c r="M169" s="17"/>
      <c r="N169" s="17"/>
      <c r="O169" s="17"/>
    </row>
    <row r="170" spans="5:18" hidden="1" x14ac:dyDescent="0.25"/>
    <row r="171" spans="5:18" hidden="1" x14ac:dyDescent="0.2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2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25">
      <c r="F173" t="e">
        <f>+#REF!</f>
        <v>#REF!</v>
      </c>
    </row>
    <row r="175" spans="5:18" x14ac:dyDescent="0.2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2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2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2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2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2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2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2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2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2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2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2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25">
      <c r="F187" s="67"/>
      <c r="G187" s="67"/>
      <c r="H187" s="67"/>
      <c r="P187" t="s">
        <v>86</v>
      </c>
    </row>
    <row r="188" spans="5:18" x14ac:dyDescent="0.2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2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2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25">
      <c r="N191" s="17"/>
      <c r="P191" s="17"/>
    </row>
  </sheetData>
  <autoFilter ref="B6:P151">
    <filterColumn colId="8" showButton="0"/>
  </autoFilter>
  <mergeCells count="27"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Hoja2</vt:lpstr>
      <vt:lpstr>SERVICIOS ENERO 2026</vt:lpstr>
      <vt:lpstr>Enero 2023 (3)</vt:lpstr>
      <vt:lpstr>Hoja1</vt:lpstr>
      <vt:lpstr>Enero 2023 (2)</vt:lpstr>
      <vt:lpstr>Mayo 2022 -sepecol</vt:lpstr>
      <vt:lpstr>'Enero 2023 (2)'!Área_de_impresión</vt:lpstr>
      <vt:lpstr>'Enero 2023 (3)'!Área_de_impresión</vt:lpstr>
      <vt:lpstr>'Mayo 2022 -sepecol'!Área_de_impresión</vt:lpstr>
      <vt:lpstr>'SERVICIOS ENERO 2026'!Área_de_impresión</vt:lpstr>
      <vt:lpstr>'Enero 2023 (2)'!Títulos_a_imprimir</vt:lpstr>
      <vt:lpstr>'Enero 2023 (3)'!Títulos_a_imprimir</vt:lpstr>
      <vt:lpstr>'Mayo 2022 -sepecol'!Títulos_a_imprimir</vt:lpstr>
      <vt:lpstr>'SERVICIOS ENERO 2026'!Títulos_a_imprimir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Apoyo Servicios Generales</cp:lastModifiedBy>
  <cp:lastPrinted>2025-12-10T18:39:19Z</cp:lastPrinted>
  <dcterms:created xsi:type="dcterms:W3CDTF">2021-01-28T19:16:38Z</dcterms:created>
  <dcterms:modified xsi:type="dcterms:W3CDTF">2026-03-09T15:38:28Z</dcterms:modified>
</cp:coreProperties>
</file>