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workbookPr defaultThemeVersion="166925"/>
  <mc:AlternateContent xmlns:mc="http://schemas.openxmlformats.org/markup-compatibility/2006">
    <mc:Choice Requires="x15">
      <x15ac:absPath xmlns:x15ac="http://schemas.microsoft.com/office/spreadsheetml/2010/11/ac" url="/Users/juanboterocure/Library/CloudStorage/GoogleDrive-juanboteroc93@gmail.com/Mi unidad/TEMAS JN ALCALDÍA/Alcaldía 2024-2027/Contratación/PROCESOS 2026/MINIMA CUANTIA/MC-MPX-017-2026 LIMPIEZA ALBARRADA PLANTA VIEJA A STA BARBARA 2026/MC-MPX-017-2026 - ROCERIA Y LIMPIEZA PLANTA VIEJA A STA BARBARA/"/>
    </mc:Choice>
  </mc:AlternateContent>
  <xr:revisionPtr revIDLastSave="0" documentId="13_ncr:1_{6CF1884F-CA5C-DE47-915F-340D3C6E10F1}" xr6:coauthVersionLast="47" xr6:coauthVersionMax="47" xr10:uidLastSave="{00000000-0000-0000-0000-000000000000}"/>
  <bookViews>
    <workbookView xWindow="0" yWindow="760" windowWidth="28800" windowHeight="16180" activeTab="2" xr2:uid="{00000000-000D-0000-FFFF-FFFF00000000}"/>
  </bookViews>
  <sheets>
    <sheet name="MO" sheetId="6" r:id="rId1"/>
    <sheet name="ANALISIS BASICOS" sheetId="7" r:id="rId2"/>
    <sheet name="PTO" sheetId="3" r:id="rId3"/>
    <sheet name="APUS" sheetId="4" r:id="rId4"/>
  </sheets>
  <externalReferences>
    <externalReference r:id="rId5"/>
    <externalReference r:id="rId6"/>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9" i="3" l="1"/>
  <c r="E8" i="3"/>
  <c r="E79" i="4"/>
  <c r="E35" i="4"/>
  <c r="E11" i="3" l="1"/>
  <c r="G167" i="4"/>
  <c r="G123" i="4"/>
  <c r="G35" i="4"/>
  <c r="D31" i="6"/>
  <c r="D27" i="6"/>
  <c r="C24" i="6"/>
  <c r="D24" i="6" s="1"/>
  <c r="D20" i="6"/>
  <c r="B9" i="6"/>
  <c r="C28" i="6" s="1"/>
  <c r="C7" i="6"/>
  <c r="D6" i="6"/>
  <c r="D5" i="6"/>
  <c r="E11" i="7"/>
  <c r="E9" i="7"/>
  <c r="E56" i="7"/>
  <c r="D48" i="7"/>
  <c r="D44" i="7"/>
  <c r="E44" i="7" s="1"/>
  <c r="D43" i="7"/>
  <c r="D53" i="7" s="1"/>
  <c r="C43" i="7"/>
  <c r="E43" i="7" s="1"/>
  <c r="D41" i="7"/>
  <c r="D51" i="7" s="1"/>
  <c r="C41" i="7"/>
  <c r="E41" i="7" s="1"/>
  <c r="D40" i="7"/>
  <c r="E40" i="7" s="1"/>
  <c r="D39" i="7"/>
  <c r="E39" i="7" s="1"/>
  <c r="D38" i="7"/>
  <c r="E38" i="7" s="1"/>
  <c r="E36" i="7"/>
  <c r="D35" i="7" s="1"/>
  <c r="D36" i="7"/>
  <c r="D46" i="7" s="1"/>
  <c r="E46" i="7" s="1"/>
  <c r="E34" i="7"/>
  <c r="D34" i="7"/>
  <c r="C33" i="7"/>
  <c r="E33" i="7" s="1"/>
  <c r="E32" i="7"/>
  <c r="D32" i="7"/>
  <c r="D42" i="7" s="1"/>
  <c r="E31" i="7"/>
  <c r="C31" i="7"/>
  <c r="E30" i="7"/>
  <c r="D30" i="7"/>
  <c r="E29" i="7"/>
  <c r="E28" i="7"/>
  <c r="E24" i="7"/>
  <c r="D22" i="7"/>
  <c r="C22" i="7"/>
  <c r="C23" i="7" s="1"/>
  <c r="E23" i="7" s="1"/>
  <c r="D20" i="7"/>
  <c r="C20" i="7"/>
  <c r="C21" i="7" s="1"/>
  <c r="E21" i="7" s="1"/>
  <c r="D19" i="7"/>
  <c r="C19" i="7"/>
  <c r="E19" i="7" s="1"/>
  <c r="D18" i="7"/>
  <c r="E18" i="7" s="1"/>
  <c r="D16" i="7"/>
  <c r="D26" i="7" s="1"/>
  <c r="E26" i="7" s="1"/>
  <c r="D14" i="7"/>
  <c r="E14" i="7" s="1"/>
  <c r="E13" i="7"/>
  <c r="E12" i="7"/>
  <c r="D10" i="7"/>
  <c r="E10" i="7" s="1"/>
  <c r="D9" i="7" s="1"/>
  <c r="E5" i="7" s="1"/>
  <c r="E8" i="7"/>
  <c r="D8" i="7"/>
  <c r="E7" i="7"/>
  <c r="E6" i="7"/>
  <c r="G171" i="4"/>
  <c r="G170" i="4"/>
  <c r="G169" i="4"/>
  <c r="G168" i="4"/>
  <c r="G163" i="4"/>
  <c r="G162" i="4"/>
  <c r="G161" i="4"/>
  <c r="G160" i="4"/>
  <c r="H164" i="4" s="1"/>
  <c r="G159" i="4"/>
  <c r="G155" i="4"/>
  <c r="G154" i="4"/>
  <c r="G153" i="4"/>
  <c r="G152" i="4"/>
  <c r="G151" i="4"/>
  <c r="G150" i="4"/>
  <c r="G146" i="4"/>
  <c r="G145" i="4"/>
  <c r="G144" i="4"/>
  <c r="G143" i="4"/>
  <c r="G142" i="4"/>
  <c r="G127" i="4"/>
  <c r="G126" i="4"/>
  <c r="G125" i="4"/>
  <c r="G124" i="4"/>
  <c r="G119" i="4"/>
  <c r="G118" i="4"/>
  <c r="G117" i="4"/>
  <c r="G116" i="4"/>
  <c r="G115" i="4"/>
  <c r="G111" i="4"/>
  <c r="G110" i="4"/>
  <c r="G109" i="4"/>
  <c r="G108" i="4"/>
  <c r="G107" i="4"/>
  <c r="G106" i="4"/>
  <c r="G102" i="4"/>
  <c r="G101" i="4"/>
  <c r="G100" i="4"/>
  <c r="G99" i="4"/>
  <c r="H103" i="4" s="1"/>
  <c r="G98" i="4"/>
  <c r="G83" i="4"/>
  <c r="G82" i="4"/>
  <c r="G81" i="4"/>
  <c r="G80" i="4"/>
  <c r="G79" i="4"/>
  <c r="G75" i="4"/>
  <c r="G74" i="4"/>
  <c r="G73" i="4"/>
  <c r="G72" i="4"/>
  <c r="G71" i="4"/>
  <c r="H76" i="4" s="1"/>
  <c r="G67" i="4"/>
  <c r="G66" i="4"/>
  <c r="G65" i="4"/>
  <c r="G64" i="4"/>
  <c r="G63" i="4"/>
  <c r="G62" i="4"/>
  <c r="H68" i="4" s="1"/>
  <c r="G58" i="4"/>
  <c r="G57" i="4"/>
  <c r="G56" i="4"/>
  <c r="G55" i="4"/>
  <c r="G39" i="4"/>
  <c r="G38" i="4"/>
  <c r="G37" i="4"/>
  <c r="G36" i="4"/>
  <c r="G31" i="4"/>
  <c r="G30" i="4"/>
  <c r="G29" i="4"/>
  <c r="G28" i="4"/>
  <c r="G27" i="4"/>
  <c r="H32" i="4" s="1"/>
  <c r="G23" i="4"/>
  <c r="G22" i="4"/>
  <c r="G21" i="4"/>
  <c r="G20" i="4"/>
  <c r="G19" i="4"/>
  <c r="G18" i="4"/>
  <c r="G14" i="4"/>
  <c r="G13" i="4"/>
  <c r="G12" i="4"/>
  <c r="G11" i="4"/>
  <c r="H15" i="4"/>
  <c r="D7" i="6" l="1"/>
  <c r="D9" i="6"/>
  <c r="D11" i="6" s="1"/>
  <c r="H59" i="4"/>
  <c r="H120" i="4"/>
  <c r="H128" i="4"/>
  <c r="H172" i="4"/>
  <c r="H156" i="4"/>
  <c r="H24" i="4"/>
  <c r="H84" i="4"/>
  <c r="H112" i="4"/>
  <c r="H130" i="4" s="1"/>
  <c r="E10" i="3" s="1"/>
  <c r="H147" i="4"/>
  <c r="H40" i="4"/>
  <c r="D28" i="6"/>
  <c r="D29" i="6"/>
  <c r="D30" i="6" s="1"/>
  <c r="D32" i="6" s="1"/>
  <c r="C9" i="6"/>
  <c r="C11" i="6" s="1"/>
  <c r="C21" i="6"/>
  <c r="D21" i="6" s="1"/>
  <c r="D22" i="6" s="1"/>
  <c r="E35" i="7"/>
  <c r="D45" i="7"/>
  <c r="E27" i="7"/>
  <c r="E42" i="7"/>
  <c r="D52" i="7"/>
  <c r="E22" i="7"/>
  <c r="D49" i="7"/>
  <c r="D50" i="7"/>
  <c r="E16" i="7"/>
  <c r="D15" i="7" s="1"/>
  <c r="E20" i="7"/>
  <c r="H131" i="4" l="1"/>
  <c r="H174" i="4"/>
  <c r="H175" i="4" s="1"/>
  <c r="H86" i="4"/>
  <c r="H42" i="4"/>
  <c r="C34" i="6"/>
  <c r="D34" i="6" s="1"/>
  <c r="D23" i="6"/>
  <c r="D25" i="6" s="1"/>
  <c r="C35" i="6" s="1"/>
  <c r="D35" i="6" s="1"/>
  <c r="D25" i="7"/>
  <c r="E25" i="7" s="1"/>
  <c r="E17" i="7" s="1"/>
  <c r="E15" i="7"/>
  <c r="D55" i="7"/>
  <c r="E55" i="7" s="1"/>
  <c r="E47" i="7" s="1"/>
  <c r="E45" i="7"/>
  <c r="E37" i="7" s="1"/>
  <c r="H87" i="4" l="1"/>
  <c r="F9" i="3"/>
  <c r="H43" i="4"/>
  <c r="F8" i="3"/>
  <c r="F11" i="3"/>
  <c r="F10" i="3"/>
  <c r="A9" i="3"/>
  <c r="A10" i="3" s="1"/>
  <c r="A11" i="3" s="1"/>
  <c r="F12" i="3" l="1"/>
  <c r="F16" i="3" s="1"/>
  <c r="F14" i="3" l="1"/>
  <c r="F15" i="3"/>
  <c r="F17" i="3" l="1"/>
  <c r="F19" i="3" s="1"/>
</calcChain>
</file>

<file path=xl/sharedStrings.xml><?xml version="1.0" encoding="utf-8"?>
<sst xmlns="http://schemas.openxmlformats.org/spreadsheetml/2006/main" count="334" uniqueCount="129">
  <si>
    <t>ITEM</t>
  </si>
  <si>
    <t>UND</t>
  </si>
  <si>
    <t>VR. UNIT</t>
  </si>
  <si>
    <t>ANALISIS DE PRECIOS UNITARIOS</t>
  </si>
  <si>
    <t>%</t>
  </si>
  <si>
    <t>HERRAMIENTAS MENORES</t>
  </si>
  <si>
    <t>M3</t>
  </si>
  <si>
    <t>VALOR TOTAL</t>
  </si>
  <si>
    <t>PRESUPUESTO OFICIAL</t>
  </si>
  <si>
    <t>VALOR:</t>
  </si>
  <si>
    <t>PLAZO:</t>
  </si>
  <si>
    <t>OBJETO:</t>
  </si>
  <si>
    <t>DESCRIPCIÓN</t>
  </si>
  <si>
    <t>CANT</t>
  </si>
  <si>
    <t>VR. PARCIAL</t>
  </si>
  <si>
    <t>SUBTOTAL COSTOS DIRECTOS</t>
  </si>
  <si>
    <t>ADMINISTRACION</t>
  </si>
  <si>
    <t>IMPREVISTOS</t>
  </si>
  <si>
    <t>UTILIDADES</t>
  </si>
  <si>
    <t>SUBTOTAL COSTOS INDIRECTOS</t>
  </si>
  <si>
    <t>HAROLD MAURICIO NARANJO CORTÉS</t>
  </si>
  <si>
    <t>SECRETARIO DE PLANEACIÓN E INFRAESTRUCTURA</t>
  </si>
  <si>
    <t>TARIFAS MANO DE OBRA Y PRESTACIONES SOCIALES 2025</t>
  </si>
  <si>
    <t>1.-SALARIOS DE MANO DE OBRA</t>
  </si>
  <si>
    <t>MENSUAL</t>
  </si>
  <si>
    <t>A- Salario Minimo Legal</t>
  </si>
  <si>
    <t>B- Auxilio de Transporte</t>
  </si>
  <si>
    <t>C- Total Mensual</t>
  </si>
  <si>
    <t xml:space="preserve">PRESTACIONES </t>
  </si>
  <si>
    <t>VALOR REAL DEL SALARIO</t>
  </si>
  <si>
    <t xml:space="preserve">NOTAS: </t>
  </si>
  <si>
    <t>1.- Subsidio de transporte solo se paga hasta sueldos de 2 salarios minimos mensules legales vigentes.</t>
  </si>
  <si>
    <t>2.- Subsidio de transporte anual = Subsidio mensual X 12</t>
  </si>
  <si>
    <t xml:space="preserve">CUADRILLA "AA" (Albañileria) </t>
  </si>
  <si>
    <t>Jornal Ayudante</t>
  </si>
  <si>
    <t>1.3 Minimos</t>
  </si>
  <si>
    <t>Valor Prestaciones</t>
  </si>
  <si>
    <t>Jornal Ayudante con prestaciones</t>
  </si>
  <si>
    <t>Valor Hr Ayudante con prestaciones</t>
  </si>
  <si>
    <t>Subsidio de transporte por jornal/hora</t>
  </si>
  <si>
    <t>Valor Total Hr Ayudante</t>
  </si>
  <si>
    <t>Jornal Oficial</t>
  </si>
  <si>
    <t>2.2 Minimos</t>
  </si>
  <si>
    <t>Jornal Oficial con prestaciones</t>
  </si>
  <si>
    <t>Valor Hr Oficial con prestaciones</t>
  </si>
  <si>
    <t>Valor Total Hr Oficial</t>
  </si>
  <si>
    <t>Valor Dia Cuadrilla</t>
  </si>
  <si>
    <t>Valor Hr Cuadrilla</t>
  </si>
  <si>
    <t>ANUAL</t>
  </si>
  <si>
    <t>UNIDAD :</t>
  </si>
  <si>
    <t>A:  COSTOS DIRECTOS</t>
  </si>
  <si>
    <t xml:space="preserve"> 1. EQUIPO</t>
  </si>
  <si>
    <t>Descripcion</t>
  </si>
  <si>
    <t>Tipo</t>
  </si>
  <si>
    <t>Tarifa/hora</t>
  </si>
  <si>
    <t>Rendim.(un/hr)</t>
  </si>
  <si>
    <t>V./unitario</t>
  </si>
  <si>
    <t>V.unit/total</t>
  </si>
  <si>
    <t>SUBTOTAL</t>
  </si>
  <si>
    <t xml:space="preserve"> 2. MATERIALES</t>
  </si>
  <si>
    <t>Unidad</t>
  </si>
  <si>
    <t>Precio Unit.</t>
  </si>
  <si>
    <t>Cantidad</t>
  </si>
  <si>
    <t xml:space="preserve"> 3. TRANSPORTE</t>
  </si>
  <si>
    <t>Material</t>
  </si>
  <si>
    <t>Vol-Peso o Cant</t>
  </si>
  <si>
    <t>Distancia</t>
  </si>
  <si>
    <t>M3 o ton/ Km</t>
  </si>
  <si>
    <t>Tarifa</t>
  </si>
  <si>
    <t>Valor-Unit.</t>
  </si>
  <si>
    <t xml:space="preserve"> 4. MANO DE OBRA</t>
  </si>
  <si>
    <t>Trabajador</t>
  </si>
  <si>
    <t>Jornal</t>
  </si>
  <si>
    <t>Prestaciones</t>
  </si>
  <si>
    <t>Jornal Total</t>
  </si>
  <si>
    <t>Rendimiento</t>
  </si>
  <si>
    <t>TOTAL COSTO DIRECTO</t>
  </si>
  <si>
    <t>TOTAL COSTO DIRECTO + AIU</t>
  </si>
  <si>
    <t>HERRAMIENTA MENOR 5% M.O</t>
  </si>
  <si>
    <t>ANALISIS BASICOS</t>
  </si>
  <si>
    <t>MATERIALES BASICOS</t>
  </si>
  <si>
    <t>VALOR INSUMO</t>
  </si>
  <si>
    <t>MORTERO 1:2</t>
  </si>
  <si>
    <t>CEMENTO GRIS</t>
  </si>
  <si>
    <t>kg</t>
  </si>
  <si>
    <t>AGUA</t>
  </si>
  <si>
    <t>lt</t>
  </si>
  <si>
    <t>ARENA</t>
  </si>
  <si>
    <t>d</t>
  </si>
  <si>
    <t>CUADRILLA "AA"</t>
  </si>
  <si>
    <t>hc</t>
  </si>
  <si>
    <t>MORTERO  1:4</t>
  </si>
  <si>
    <t>hr</t>
  </si>
  <si>
    <t>Concreto hidraulico para pavimento MR-40</t>
  </si>
  <si>
    <t>ARENA TRITURADA</t>
  </si>
  <si>
    <t>TRANSPORTE ARENA 26 km</t>
  </si>
  <si>
    <t>M3/KM</t>
  </si>
  <si>
    <t>TRITURADO</t>
  </si>
  <si>
    <t>TRANSPORTE TRITURADO 184 KM</t>
  </si>
  <si>
    <t>MEZCLADORA CON OPERADOR</t>
  </si>
  <si>
    <t>Concreto Resistencia  21 (Mpa)</t>
  </si>
  <si>
    <t>TRANSPORTE ARENA 26 KM</t>
  </si>
  <si>
    <t>TRANSPORTE TRITURADO 84 KM</t>
  </si>
  <si>
    <t>Concreto Resistencia  14 (Mpa)</t>
  </si>
  <si>
    <t>TRANSPORTE ARENA 59.7 KM</t>
  </si>
  <si>
    <t xml:space="preserve">MEZCLADORA </t>
  </si>
  <si>
    <t>HERRAMIENTAS MENORES (10% Mano de Obra)</t>
  </si>
  <si>
    <t>CUADRILLA II</t>
  </si>
  <si>
    <t xml:space="preserve">RECOLECCIÓN DE RESIDUOS SÓLIDOS QUE SE ENCUENTRAN EN LA FRANJA AL MARGEN DEL RÍO </t>
  </si>
  <si>
    <t>GLB</t>
  </si>
  <si>
    <t>JORNALES PARA ROCERÍA Y LIMPIEZA MANUAL (INCLUYE MANO DE OBRA Y MATERIALES NECESARIOS)</t>
  </si>
  <si>
    <t>JORNALES PARA ROCERÍA Y LIMPIEZA MECÁNICA (INCLUYE MANO DE OBRA, EQUIPO DE GUADAÑA Y MATERIALES NECESARIOS)</t>
  </si>
  <si>
    <t>TRANSPORTE DE RESIDUOS SÓLIDOS Y MALEZA VEGETAL (INCLUYE TRANSPORTE)</t>
  </si>
  <si>
    <t>VIAJE</t>
  </si>
  <si>
    <t>TITULO : JORNALES PARA ROCERÍA Y LIMPIEZA MANUAL (INCLUYE MANO DE OBRA Y MATERIALES NECESARIOS)</t>
  </si>
  <si>
    <t>TITULO : JORNALES PARA ROCERÍA Y LIMPIEZA MECÁNICA (INCLUYE MANO DE OBRA, EQUIPO DE GUADAÑA Y MATERIALES NECESARIOS)</t>
  </si>
  <si>
    <t xml:space="preserve">TITULO : RECOLECCIÓN DE RESIDUOS SÓLIDOS QUE SE ENCUENTRAN EN LA FRANJA AL MARGEN DEL RÍO </t>
  </si>
  <si>
    <t>TITULO : TRANSPORTE DE RESIDUOS SÓLIDOS Y MALEZA VEGETAL (INCLUYE TRANSPORTE)</t>
  </si>
  <si>
    <t>AYUDANTE</t>
  </si>
  <si>
    <t>GUADAÑA FS 235</t>
  </si>
  <si>
    <t>VOLQUETA 6M3</t>
  </si>
  <si>
    <t xml:space="preserve">ITEM  1 : </t>
  </si>
  <si>
    <t xml:space="preserve">ITEM  2 : </t>
  </si>
  <si>
    <t xml:space="preserve">ITEM  3 : </t>
  </si>
  <si>
    <t xml:space="preserve">ITEM  4 : </t>
  </si>
  <si>
    <t>SERVICIO DE ROCERÍA Y LIMPIEZA DEL MARGEN DEL RÍO MAGDALENA DEL SECTOR COMPRENDIDO ENTRE LA PLANTA DE TRATAMIENTO DE AGUA POTABLE HASTA LA PLAZA DE SANTA BARBARA EN LA CABECERA DISTRITAL DE SANTA CRUZ DE MOMPOX - BOLÍVAR</t>
  </si>
  <si>
    <t>CUARENTA Y NUEVE MILLONES SEIS MIL TRESCIENTOS CUARENTA Y CUATRO PESOS M/CTE</t>
  </si>
  <si>
    <t>CALCULO DE CUADRILLAS 2026</t>
  </si>
  <si>
    <t xml:space="preserve">OCHO (15) DÍAS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</si>
</sst>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 #,##0.00\ _P_t_s_-;\-* #,##0.00\ _P_t_s_-;_-* &quot;-&quot;??\ _P_t_s_-;_-@_-"/>
    <numFmt numFmtId="166" formatCode="_(&quot;$&quot;\ * #,##0.00_);_(&quot;$&quot;\ * \(#,##0.00\);_(&quot;$&quot;\ * &quot;-&quot;??_);_(@_)"/>
    <numFmt numFmtId="167" formatCode="_(&quot;$&quot;\ * #,##0_);_(&quot;$&quot;\ * \(#,##0\);_(&quot;$&quot;\ * &quot;-&quot;??_);_(@_)"/>
    <numFmt numFmtId="168" formatCode="_(* #,##0.00_);_(* \(#,##0.00\);_(* &quot;-&quot;??_);_(@_)"/>
    <numFmt numFmtId="169" formatCode="_ * #.##0.00_ ;_ * \-#.##0.00_ ;_ * &quot;-&quot;??_ ;_ @_ "/>
    <numFmt numFmtId="170" formatCode="_([$$-240A]\ * #,##0.00_);_([$$-240A]\ * \(#,##0.00\);_([$$-240A]\ * &quot;-&quot;??_);_(@_)"/>
    <numFmt numFmtId="171" formatCode="0.0%"/>
    <numFmt numFmtId="172" formatCode="#,##0.00_);\-#,##0.00"/>
  </numFmts>
  <fonts count="30">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b/>
      <sz val="10"/>
      <name val="Arial"/>
      <family val="2"/>
    </font>
    <font>
      <sz val="10"/>
      <name val="Arial"/>
      <family val="2"/>
    </font>
    <font>
      <b/>
      <sz val="10"/>
      <name val="Arial Narrow"/>
      <family val="2"/>
    </font>
    <font>
      <sz val="10"/>
      <name val="Arial Narrow"/>
      <family val="2"/>
    </font>
    <font>
      <sz val="9"/>
      <name val="Arial"/>
      <family val="2"/>
    </font>
    <font>
      <b/>
      <sz val="12"/>
      <color theme="1"/>
      <name val="Calibri"/>
      <family val="2"/>
      <scheme val="minor"/>
    </font>
    <font>
      <b/>
      <sz val="14"/>
      <color theme="1"/>
      <name val="Calibri"/>
      <family val="2"/>
      <scheme val="minor"/>
    </font>
    <font>
      <b/>
      <sz val="12"/>
      <name val="Arial"/>
      <family val="2"/>
    </font>
    <font>
      <sz val="12"/>
      <name val="Arial"/>
      <family val="2"/>
    </font>
    <font>
      <sz val="8"/>
      <name val="Arial"/>
      <family val="2"/>
    </font>
    <font>
      <sz val="10"/>
      <color indexed="8"/>
      <name val="MS Sans Serif"/>
      <family val="2"/>
    </font>
    <font>
      <sz val="7.9"/>
      <color indexed="8"/>
      <name val="Arial"/>
      <family val="2"/>
    </font>
    <font>
      <sz val="10"/>
      <color theme="1"/>
      <name val="Arial"/>
      <family val="2"/>
    </font>
    <font>
      <b/>
      <sz val="22"/>
      <name val="Arial Narrow"/>
      <family val="2"/>
    </font>
    <font>
      <sz val="8"/>
      <name val="Arial Narrow"/>
      <family val="2"/>
    </font>
    <font>
      <b/>
      <sz val="9"/>
      <name val="Arial Narrow"/>
      <family val="2"/>
    </font>
    <font>
      <b/>
      <sz val="12"/>
      <name val="Times New Roman"/>
      <family val="1"/>
    </font>
    <font>
      <sz val="10"/>
      <color indexed="8"/>
      <name val="Times New Roman"/>
      <family val="1"/>
    </font>
    <font>
      <b/>
      <sz val="12"/>
      <color indexed="8"/>
      <name val="Times New Roman"/>
      <family val="1"/>
    </font>
    <font>
      <b/>
      <sz val="10"/>
      <color indexed="8"/>
      <name val="Times New Roman"/>
      <family val="1"/>
    </font>
    <font>
      <b/>
      <sz val="8"/>
      <color indexed="8"/>
      <name val="Times New Roman"/>
      <family val="1"/>
    </font>
    <font>
      <sz val="12"/>
      <color indexed="8"/>
      <name val="Times New Roman"/>
      <family val="1"/>
    </font>
    <font>
      <sz val="8"/>
      <color indexed="8"/>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66">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n">
        <color indexed="9"/>
      </top>
      <bottom/>
      <diagonal/>
    </border>
    <border>
      <left/>
      <right/>
      <top style="thin">
        <color indexed="9"/>
      </top>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indexed="64"/>
      </right>
      <top/>
      <bottom/>
      <diagonal/>
    </border>
    <border>
      <left style="medium">
        <color indexed="64"/>
      </left>
      <right/>
      <top/>
      <bottom style="thin">
        <color auto="1"/>
      </bottom>
      <diagonal/>
    </border>
    <border>
      <left style="thin">
        <color indexed="64"/>
      </left>
      <right style="medium">
        <color indexed="64"/>
      </right>
      <top style="thin">
        <color indexed="64"/>
      </top>
      <bottom/>
      <diagonal/>
    </border>
    <border>
      <left style="medium">
        <color indexed="64"/>
      </left>
      <right/>
      <top style="thin">
        <color auto="1"/>
      </top>
      <bottom/>
      <diagonal/>
    </border>
    <border>
      <left/>
      <right/>
      <top style="thin">
        <color indexed="64"/>
      </top>
      <bottom/>
      <diagonal/>
    </border>
    <border>
      <left/>
      <right style="thin">
        <color auto="1"/>
      </right>
      <top style="thin">
        <color auto="1"/>
      </top>
      <bottom/>
      <diagonal/>
    </border>
    <border>
      <left style="medium">
        <color indexed="64"/>
      </left>
      <right/>
      <top style="thin">
        <color indexed="9"/>
      </top>
      <bottom/>
      <diagonal/>
    </border>
    <border>
      <left/>
      <right/>
      <top style="thin">
        <color indexed="9"/>
      </top>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right style="thin">
        <color auto="1"/>
      </right>
      <top style="thin">
        <color auto="1"/>
      </top>
      <bottom style="thin">
        <color auto="1"/>
      </bottom>
      <diagonal/>
    </border>
    <border>
      <left style="thin">
        <color indexed="64"/>
      </left>
      <right style="medium">
        <color indexed="64"/>
      </right>
      <top style="thin">
        <color indexed="64"/>
      </top>
      <bottom/>
      <diagonal/>
    </border>
    <border>
      <left style="medium">
        <color indexed="64"/>
      </left>
      <right/>
      <top style="thin">
        <color auto="1"/>
      </top>
      <bottom/>
      <diagonal/>
    </border>
    <border>
      <left/>
      <right/>
      <top style="thin">
        <color indexed="64"/>
      </top>
      <bottom/>
      <diagonal/>
    </border>
    <border>
      <left/>
      <right style="thin">
        <color auto="1"/>
      </right>
      <top style="thin">
        <color auto="1"/>
      </top>
      <bottom/>
      <diagonal/>
    </border>
    <border>
      <left style="medium">
        <color indexed="64"/>
      </left>
      <right/>
      <top style="thin">
        <color indexed="9"/>
      </top>
      <bottom/>
      <diagonal/>
    </border>
    <border>
      <left/>
      <right/>
      <top style="thin">
        <color indexed="9"/>
      </top>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right style="thin">
        <color auto="1"/>
      </right>
      <top style="thin">
        <color auto="1"/>
      </top>
      <bottom style="thin">
        <color auto="1"/>
      </bottom>
      <diagonal/>
    </border>
    <border>
      <left style="thin">
        <color indexed="64"/>
      </left>
      <right style="medium">
        <color indexed="64"/>
      </right>
      <top style="thin">
        <color indexed="64"/>
      </top>
      <bottom/>
      <diagonal/>
    </border>
    <border>
      <left style="medium">
        <color indexed="64"/>
      </left>
      <right/>
      <top style="thin">
        <color auto="1"/>
      </top>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style="thin">
        <color auto="1"/>
      </top>
      <bottom style="thin">
        <color auto="1"/>
      </bottom>
      <diagonal/>
    </border>
    <border>
      <left/>
      <right style="thin">
        <color auto="1"/>
      </right>
      <top style="thin">
        <color auto="1"/>
      </top>
      <bottom style="thin">
        <color auto="1"/>
      </bottom>
      <diagonal/>
    </border>
  </borders>
  <cellStyleXfs count="12">
    <xf numFmtId="0" fontId="0" fillId="0" borderId="0"/>
    <xf numFmtId="42"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17" fillId="0" borderId="0"/>
    <xf numFmtId="166" fontId="5" fillId="0" borderId="0" applyFont="0" applyFill="0" applyBorder="0" applyAlignment="0" applyProtection="0"/>
    <xf numFmtId="169" fontId="18" fillId="0" borderId="0" applyFont="0" applyFill="0" applyBorder="0" applyAlignment="0" applyProtection="0"/>
    <xf numFmtId="0" fontId="8" fillId="0" borderId="0"/>
    <xf numFmtId="0" fontId="5" fillId="0" borderId="0"/>
    <xf numFmtId="168" fontId="8" fillId="0" borderId="0" applyFont="0" applyFill="0" applyBorder="0" applyAlignment="0" applyProtection="0"/>
    <xf numFmtId="9" fontId="8" fillId="0" borderId="0" applyFont="0" applyFill="0" applyBorder="0" applyAlignment="0" applyProtection="0"/>
    <xf numFmtId="169" fontId="18" fillId="0" borderId="0" applyFont="0" applyFill="0" applyBorder="0" applyAlignment="0" applyProtection="0"/>
  </cellStyleXfs>
  <cellXfs count="257">
    <xf numFmtId="0" fontId="0" fillId="0" borderId="0" xfId="0"/>
    <xf numFmtId="0" fontId="4" fillId="0" borderId="5" xfId="0" applyFont="1" applyBorder="1"/>
    <xf numFmtId="0" fontId="4" fillId="0" borderId="12" xfId="0" applyFont="1" applyBorder="1"/>
    <xf numFmtId="0" fontId="4" fillId="0" borderId="6" xfId="0" applyFont="1" applyBorder="1"/>
    <xf numFmtId="0" fontId="4" fillId="0" borderId="5" xfId="0" applyFont="1" applyBorder="1" applyAlignment="1">
      <alignment vertical="top"/>
    </xf>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12" fillId="0" borderId="8" xfId="0" applyFont="1" applyBorder="1" applyAlignment="1">
      <alignment horizontal="center"/>
    </xf>
    <xf numFmtId="0" fontId="12" fillId="0" borderId="7" xfId="0" applyFont="1" applyBorder="1" applyAlignment="1">
      <alignment horizontal="center"/>
    </xf>
    <xf numFmtId="0" fontId="4" fillId="0" borderId="8" xfId="0" applyFont="1" applyBorder="1" applyAlignment="1">
      <alignment horizontal="center" vertical="center"/>
    </xf>
    <xf numFmtId="3" fontId="4" fillId="0" borderId="8" xfId="0" applyNumberFormat="1" applyFont="1" applyBorder="1" applyAlignment="1">
      <alignment horizontal="center" vertical="center"/>
    </xf>
    <xf numFmtId="42" fontId="4" fillId="0" borderId="8" xfId="1" applyFont="1" applyBorder="1" applyAlignment="1">
      <alignment horizontal="center" vertical="center"/>
    </xf>
    <xf numFmtId="0" fontId="4" fillId="0" borderId="8" xfId="0" applyFont="1" applyBorder="1" applyAlignment="1">
      <alignment horizontal="center"/>
    </xf>
    <xf numFmtId="0" fontId="4" fillId="0" borderId="8" xfId="0" applyFont="1" applyBorder="1"/>
    <xf numFmtId="3" fontId="4" fillId="0" borderId="8" xfId="0" applyNumberFormat="1" applyFont="1" applyBorder="1" applyAlignment="1">
      <alignment horizontal="center"/>
    </xf>
    <xf numFmtId="42" fontId="4" fillId="0" borderId="8" xfId="1" applyFont="1" applyBorder="1"/>
    <xf numFmtId="0" fontId="12" fillId="0" borderId="8" xfId="0" applyFont="1" applyBorder="1"/>
    <xf numFmtId="164" fontId="4" fillId="0" borderId="8" xfId="2" applyNumberFormat="1" applyFont="1" applyBorder="1"/>
    <xf numFmtId="164" fontId="12" fillId="0" borderId="8" xfId="2" applyNumberFormat="1" applyFont="1" applyBorder="1"/>
    <xf numFmtId="9" fontId="4" fillId="0" borderId="8" xfId="3" applyFont="1" applyBorder="1" applyAlignment="1">
      <alignment horizontal="center"/>
    </xf>
    <xf numFmtId="0" fontId="12" fillId="0" borderId="5" xfId="0" applyFont="1" applyBorder="1"/>
    <xf numFmtId="0" fontId="12" fillId="0" borderId="12" xfId="0" applyFont="1" applyBorder="1"/>
    <xf numFmtId="164" fontId="12" fillId="0" borderId="6" xfId="0" applyNumberFormat="1" applyFont="1" applyBorder="1"/>
    <xf numFmtId="164" fontId="12" fillId="0" borderId="8" xfId="0" applyNumberFormat="1" applyFont="1" applyBorder="1"/>
    <xf numFmtId="0" fontId="6" fillId="0" borderId="0" xfId="0" applyFont="1"/>
    <xf numFmtId="0" fontId="14" fillId="0" borderId="15" xfId="4" applyFont="1" applyBorder="1" applyAlignment="1">
      <alignment horizontal="center"/>
    </xf>
    <xf numFmtId="0" fontId="14" fillId="0" borderId="0" xfId="4" applyFont="1" applyAlignment="1">
      <alignment horizontal="center"/>
    </xf>
    <xf numFmtId="0" fontId="14" fillId="0" borderId="16" xfId="4" applyFont="1" applyBorder="1" applyAlignment="1">
      <alignment horizontal="center"/>
    </xf>
    <xf numFmtId="0" fontId="14" fillId="0" borderId="15" xfId="4" applyFont="1" applyBorder="1"/>
    <xf numFmtId="0" fontId="15" fillId="0" borderId="0" xfId="4" applyFont="1"/>
    <xf numFmtId="166" fontId="15" fillId="0" borderId="16" xfId="5" applyFont="1" applyBorder="1"/>
    <xf numFmtId="0" fontId="15" fillId="0" borderId="15" xfId="4" applyFont="1" applyBorder="1"/>
    <xf numFmtId="0" fontId="8" fillId="0" borderId="0" xfId="4" applyFont="1"/>
    <xf numFmtId="166" fontId="8" fillId="0" borderId="16" xfId="5" applyFont="1" applyBorder="1"/>
    <xf numFmtId="167" fontId="8" fillId="0" borderId="0" xfId="5" applyNumberFormat="1" applyFont="1" applyBorder="1"/>
    <xf numFmtId="0" fontId="14" fillId="0" borderId="0" xfId="4" applyFont="1"/>
    <xf numFmtId="167" fontId="7" fillId="0" borderId="0" xfId="5" applyNumberFormat="1" applyFont="1" applyBorder="1"/>
    <xf numFmtId="166" fontId="7" fillId="0" borderId="16" xfId="5" applyFont="1" applyBorder="1"/>
    <xf numFmtId="0" fontId="17" fillId="0" borderId="15" xfId="4" applyBorder="1"/>
    <xf numFmtId="0" fontId="17" fillId="0" borderId="0" xfId="4"/>
    <xf numFmtId="166" fontId="17" fillId="0" borderId="16" xfId="5" applyFont="1" applyFill="1" applyBorder="1" applyAlignment="1" applyProtection="1"/>
    <xf numFmtId="0" fontId="15" fillId="0" borderId="21" xfId="7" applyFont="1" applyBorder="1"/>
    <xf numFmtId="0" fontId="15" fillId="0" borderId="22" xfId="7" applyFont="1" applyBorder="1"/>
    <xf numFmtId="0" fontId="16" fillId="0" borderId="22" xfId="8" applyFont="1" applyBorder="1"/>
    <xf numFmtId="166" fontId="17" fillId="0" borderId="23" xfId="5" applyFont="1" applyFill="1" applyBorder="1" applyAlignment="1" applyProtection="1"/>
    <xf numFmtId="0" fontId="10" fillId="0" borderId="9" xfId="7" applyFont="1" applyBorder="1"/>
    <xf numFmtId="0" fontId="10" fillId="0" borderId="0" xfId="7" applyFont="1"/>
    <xf numFmtId="0" fontId="10" fillId="0" borderId="15" xfId="7" applyFont="1" applyBorder="1"/>
    <xf numFmtId="0" fontId="21" fillId="0" borderId="9" xfId="7" applyFont="1" applyBorder="1"/>
    <xf numFmtId="0" fontId="21" fillId="0" borderId="13" xfId="7" applyFont="1" applyBorder="1"/>
    <xf numFmtId="0" fontId="22" fillId="0" borderId="13" xfId="7" applyFont="1" applyBorder="1"/>
    <xf numFmtId="1" fontId="21" fillId="0" borderId="13" xfId="7" applyNumberFormat="1" applyFont="1" applyBorder="1" applyAlignment="1">
      <alignment horizontal="center"/>
    </xf>
    <xf numFmtId="0" fontId="21" fillId="0" borderId="14" xfId="7" applyFont="1" applyBorder="1"/>
    <xf numFmtId="0" fontId="9" fillId="0" borderId="9" xfId="7" applyFont="1" applyBorder="1" applyAlignment="1">
      <alignment horizontal="left"/>
    </xf>
    <xf numFmtId="49" fontId="9" fillId="0" borderId="10" xfId="7" applyNumberFormat="1" applyFont="1" applyBorder="1" applyAlignment="1">
      <alignment horizontal="center"/>
    </xf>
    <xf numFmtId="0" fontId="9" fillId="0" borderId="13" xfId="7" applyFont="1" applyBorder="1" applyAlignment="1">
      <alignment horizontal="left"/>
    </xf>
    <xf numFmtId="0" fontId="10" fillId="0" borderId="13" xfId="7" applyFont="1" applyBorder="1" applyAlignment="1">
      <alignment horizontal="center"/>
    </xf>
    <xf numFmtId="0" fontId="9" fillId="0" borderId="13" xfId="7" applyFont="1" applyBorder="1" applyAlignment="1">
      <alignment horizontal="right"/>
    </xf>
    <xf numFmtId="0" fontId="9" fillId="0" borderId="11" xfId="7" applyFont="1" applyBorder="1" applyAlignment="1">
      <alignment horizontal="center" vertical="center"/>
    </xf>
    <xf numFmtId="0" fontId="9" fillId="0" borderId="15" xfId="7" applyFont="1" applyBorder="1"/>
    <xf numFmtId="0" fontId="9" fillId="0" borderId="0" xfId="7" applyFont="1"/>
    <xf numFmtId="1" fontId="10" fillId="0" borderId="0" xfId="7" applyNumberFormat="1" applyFont="1" applyAlignment="1">
      <alignment horizontal="center"/>
    </xf>
    <xf numFmtId="0" fontId="10" fillId="0" borderId="16" xfId="7" applyFont="1" applyBorder="1"/>
    <xf numFmtId="0" fontId="9" fillId="0" borderId="27" xfId="7" applyFont="1" applyBorder="1"/>
    <xf numFmtId="0" fontId="9" fillId="0" borderId="28" xfId="7" applyFont="1" applyBorder="1"/>
    <xf numFmtId="0" fontId="10" fillId="0" borderId="30" xfId="7" applyFont="1" applyBorder="1" applyAlignment="1">
      <alignment horizontal="center" vertical="center"/>
    </xf>
    <xf numFmtId="0" fontId="10" fillId="0" borderId="31" xfId="7" applyFont="1" applyBorder="1" applyAlignment="1">
      <alignment horizontal="center" vertical="center"/>
    </xf>
    <xf numFmtId="0" fontId="10" fillId="0" borderId="7" xfId="7" applyFont="1" applyBorder="1" applyAlignment="1">
      <alignment horizontal="center"/>
    </xf>
    <xf numFmtId="166" fontId="10" fillId="0" borderId="7" xfId="9" applyNumberFormat="1" applyFont="1" applyFill="1" applyBorder="1" applyAlignment="1">
      <alignment horizontal="right"/>
    </xf>
    <xf numFmtId="2" fontId="10" fillId="0" borderId="7" xfId="7" applyNumberFormat="1" applyFont="1" applyBorder="1" applyAlignment="1">
      <alignment horizontal="center"/>
    </xf>
    <xf numFmtId="166" fontId="10" fillId="0" borderId="7" xfId="7" applyNumberFormat="1" applyFont="1" applyBorder="1" applyAlignment="1">
      <alignment horizontal="right"/>
    </xf>
    <xf numFmtId="0" fontId="10" fillId="0" borderId="34" xfId="7" applyFont="1" applyBorder="1"/>
    <xf numFmtId="0" fontId="10" fillId="0" borderId="30" xfId="7" applyFont="1" applyBorder="1" applyAlignment="1">
      <alignment horizontal="center"/>
    </xf>
    <xf numFmtId="1" fontId="10" fillId="0" borderId="30" xfId="7" applyNumberFormat="1" applyFont="1" applyBorder="1" applyAlignment="1">
      <alignment horizontal="center"/>
    </xf>
    <xf numFmtId="4" fontId="10" fillId="0" borderId="0" xfId="7" applyNumberFormat="1" applyFont="1" applyAlignment="1">
      <alignment horizontal="right"/>
    </xf>
    <xf numFmtId="4" fontId="9" fillId="0" borderId="30" xfId="7" applyNumberFormat="1" applyFont="1" applyBorder="1"/>
    <xf numFmtId="4" fontId="10" fillId="0" borderId="31" xfId="7" applyNumberFormat="1" applyFont="1" applyBorder="1" applyAlignment="1">
      <alignment horizontal="right"/>
    </xf>
    <xf numFmtId="0" fontId="9" fillId="0" borderId="35" xfId="7" applyFont="1" applyBorder="1"/>
    <xf numFmtId="0" fontId="9" fillId="0" borderId="2" xfId="7" applyFont="1" applyBorder="1"/>
    <xf numFmtId="4" fontId="10" fillId="0" borderId="0" xfId="7" applyNumberFormat="1" applyFont="1"/>
    <xf numFmtId="4" fontId="10" fillId="0" borderId="36" xfId="7" applyNumberFormat="1" applyFont="1" applyBorder="1" applyAlignment="1">
      <alignment horizontal="right"/>
    </xf>
    <xf numFmtId="4" fontId="10" fillId="0" borderId="34" xfId="7" applyNumberFormat="1" applyFont="1" applyBorder="1" applyAlignment="1">
      <alignment horizontal="right"/>
    </xf>
    <xf numFmtId="4" fontId="10" fillId="0" borderId="7" xfId="9" applyNumberFormat="1" applyFont="1" applyFill="1" applyBorder="1" applyAlignment="1">
      <alignment horizontal="center"/>
    </xf>
    <xf numFmtId="4" fontId="10" fillId="0" borderId="30" xfId="7" applyNumberFormat="1" applyFont="1" applyBorder="1" applyAlignment="1">
      <alignment horizontal="center"/>
    </xf>
    <xf numFmtId="0" fontId="10" fillId="0" borderId="37" xfId="7" applyFont="1" applyBorder="1"/>
    <xf numFmtId="0" fontId="10" fillId="0" borderId="38" xfId="7" applyFont="1" applyBorder="1"/>
    <xf numFmtId="4" fontId="10" fillId="0" borderId="38" xfId="7" applyNumberFormat="1" applyFont="1" applyBorder="1" applyAlignment="1">
      <alignment horizontal="right"/>
    </xf>
    <xf numFmtId="1" fontId="10" fillId="0" borderId="39" xfId="7" applyNumberFormat="1" applyFont="1" applyBorder="1" applyAlignment="1">
      <alignment horizontal="center"/>
    </xf>
    <xf numFmtId="0" fontId="10" fillId="0" borderId="29" xfId="7" applyFont="1" applyBorder="1" applyAlignment="1">
      <alignment horizontal="center"/>
    </xf>
    <xf numFmtId="0" fontId="10" fillId="0" borderId="29" xfId="7" applyFont="1" applyBorder="1" applyAlignment="1">
      <alignment horizontal="left"/>
    </xf>
    <xf numFmtId="0" fontId="10" fillId="0" borderId="30" xfId="7" applyFont="1" applyBorder="1" applyAlignment="1">
      <alignment horizontal="left"/>
    </xf>
    <xf numFmtId="9" fontId="10" fillId="0" borderId="30" xfId="7" applyNumberFormat="1" applyFont="1" applyBorder="1" applyAlignment="1">
      <alignment horizontal="center"/>
    </xf>
    <xf numFmtId="4" fontId="10" fillId="0" borderId="30" xfId="7" applyNumberFormat="1" applyFont="1" applyBorder="1" applyAlignment="1">
      <alignment horizontal="right"/>
    </xf>
    <xf numFmtId="166" fontId="10" fillId="0" borderId="30" xfId="7" applyNumberFormat="1" applyFont="1" applyBorder="1" applyAlignment="1">
      <alignment horizontal="center"/>
    </xf>
    <xf numFmtId="0" fontId="10" fillId="0" borderId="30" xfId="7" applyFont="1" applyBorder="1"/>
    <xf numFmtId="0" fontId="10" fillId="0" borderId="32" xfId="7" applyFont="1" applyBorder="1" applyAlignment="1">
      <alignment horizontal="center"/>
    </xf>
    <xf numFmtId="0" fontId="10" fillId="0" borderId="30" xfId="7" applyFont="1" applyBorder="1" applyAlignment="1">
      <alignment horizontal="centerContinuous"/>
    </xf>
    <xf numFmtId="170" fontId="10" fillId="0" borderId="30" xfId="7" applyNumberFormat="1" applyFont="1" applyBorder="1" applyAlignment="1">
      <alignment horizontal="left" indent="2"/>
    </xf>
    <xf numFmtId="171" fontId="10" fillId="0" borderId="30" xfId="10" applyNumberFormat="1" applyFont="1" applyFill="1" applyBorder="1" applyAlignment="1" applyProtection="1">
      <alignment horizontal="center"/>
    </xf>
    <xf numFmtId="166" fontId="10" fillId="0" borderId="30" xfId="9" applyNumberFormat="1" applyFont="1" applyFill="1" applyBorder="1" applyAlignment="1">
      <alignment horizontal="right"/>
    </xf>
    <xf numFmtId="166" fontId="10" fillId="0" borderId="30" xfId="7" applyNumberFormat="1" applyFont="1" applyBorder="1" applyAlignment="1">
      <alignment horizontal="right"/>
    </xf>
    <xf numFmtId="0" fontId="10" fillId="0" borderId="15" xfId="7" applyFont="1" applyBorder="1" applyAlignment="1">
      <alignment horizontal="center"/>
    </xf>
    <xf numFmtId="0" fontId="10" fillId="0" borderId="0" xfId="7" applyFont="1" applyAlignment="1">
      <alignment horizontal="center"/>
    </xf>
    <xf numFmtId="0" fontId="10" fillId="0" borderId="0" xfId="7" applyFont="1" applyAlignment="1">
      <alignment horizontal="left"/>
    </xf>
    <xf numFmtId="4" fontId="9" fillId="0" borderId="0" xfId="7" applyNumberFormat="1" applyFont="1"/>
    <xf numFmtId="3" fontId="10" fillId="0" borderId="0" xfId="7" applyNumberFormat="1" applyFont="1"/>
    <xf numFmtId="4" fontId="10" fillId="0" borderId="16" xfId="7" applyNumberFormat="1" applyFont="1" applyBorder="1" applyAlignment="1">
      <alignment horizontal="right"/>
    </xf>
    <xf numFmtId="0" fontId="9" fillId="0" borderId="15" xfId="7" applyFont="1" applyBorder="1" applyAlignment="1">
      <alignment wrapText="1"/>
    </xf>
    <xf numFmtId="0" fontId="9" fillId="0" borderId="40" xfId="7" applyFont="1" applyBorder="1"/>
    <xf numFmtId="0" fontId="9" fillId="0" borderId="41" xfId="7" applyFont="1" applyBorder="1"/>
    <xf numFmtId="0" fontId="10" fillId="0" borderId="43" xfId="7" applyFont="1" applyBorder="1" applyAlignment="1">
      <alignment horizontal="center" vertical="center"/>
    </xf>
    <xf numFmtId="0" fontId="10" fillId="0" borderId="44" xfId="7" applyFont="1" applyBorder="1" applyAlignment="1">
      <alignment horizontal="center" vertical="center"/>
    </xf>
    <xf numFmtId="0" fontId="10" fillId="0" borderId="43" xfId="7" applyFont="1" applyBorder="1" applyAlignment="1">
      <alignment horizontal="center"/>
    </xf>
    <xf numFmtId="1" fontId="10" fillId="0" borderId="43" xfId="7" applyNumberFormat="1" applyFont="1" applyBorder="1" applyAlignment="1">
      <alignment horizontal="center"/>
    </xf>
    <xf numFmtId="4" fontId="9" fillId="0" borderId="43" xfId="7" applyNumberFormat="1" applyFont="1" applyBorder="1"/>
    <xf numFmtId="4" fontId="10" fillId="0" borderId="44" xfId="7" applyNumberFormat="1" applyFont="1" applyBorder="1" applyAlignment="1">
      <alignment horizontal="right"/>
    </xf>
    <xf numFmtId="4" fontId="10" fillId="0" borderId="47" xfId="7" applyNumberFormat="1" applyFont="1" applyBorder="1" applyAlignment="1">
      <alignment horizontal="right"/>
    </xf>
    <xf numFmtId="4" fontId="10" fillId="0" borderId="43" xfId="7" applyNumberFormat="1" applyFont="1" applyBorder="1" applyAlignment="1">
      <alignment horizontal="center"/>
    </xf>
    <xf numFmtId="0" fontId="10" fillId="0" borderId="48" xfId="7" applyFont="1" applyBorder="1"/>
    <xf numFmtId="0" fontId="10" fillId="0" borderId="49" xfId="7" applyFont="1" applyBorder="1"/>
    <xf numFmtId="4" fontId="10" fillId="0" borderId="49" xfId="7" applyNumberFormat="1" applyFont="1" applyBorder="1" applyAlignment="1">
      <alignment horizontal="right"/>
    </xf>
    <xf numFmtId="1" fontId="10" fillId="0" borderId="50" xfId="7" applyNumberFormat="1" applyFont="1" applyBorder="1" applyAlignment="1">
      <alignment horizontal="center"/>
    </xf>
    <xf numFmtId="0" fontId="10" fillId="0" borderId="42" xfId="7" applyFont="1" applyBorder="1" applyAlignment="1">
      <alignment horizontal="center"/>
    </xf>
    <xf numFmtId="0" fontId="10" fillId="0" borderId="42" xfId="7" applyFont="1" applyBorder="1" applyAlignment="1">
      <alignment horizontal="left"/>
    </xf>
    <xf numFmtId="0" fontId="10" fillId="0" borderId="43" xfId="7" applyFont="1" applyBorder="1" applyAlignment="1">
      <alignment horizontal="left"/>
    </xf>
    <xf numFmtId="9" fontId="10" fillId="0" borderId="43" xfId="7" applyNumberFormat="1" applyFont="1" applyBorder="1" applyAlignment="1">
      <alignment horizontal="center"/>
    </xf>
    <xf numFmtId="4" fontId="10" fillId="0" borderId="43" xfId="7" applyNumberFormat="1" applyFont="1" applyBorder="1" applyAlignment="1">
      <alignment horizontal="right"/>
    </xf>
    <xf numFmtId="166" fontId="10" fillId="0" borderId="43" xfId="7" applyNumberFormat="1" applyFont="1" applyBorder="1" applyAlignment="1">
      <alignment horizontal="center"/>
    </xf>
    <xf numFmtId="0" fontId="10" fillId="0" borderId="43" xfId="7" applyFont="1" applyBorder="1"/>
    <xf numFmtId="0" fontId="10" fillId="0" borderId="45" xfId="7" applyFont="1" applyBorder="1" applyAlignment="1">
      <alignment horizontal="center"/>
    </xf>
    <xf numFmtId="0" fontId="10" fillId="0" borderId="43" xfId="7" applyFont="1" applyBorder="1" applyAlignment="1">
      <alignment horizontal="centerContinuous"/>
    </xf>
    <xf numFmtId="170" fontId="10" fillId="0" borderId="43" xfId="7" applyNumberFormat="1" applyFont="1" applyBorder="1" applyAlignment="1">
      <alignment horizontal="left" indent="2"/>
    </xf>
    <xf numFmtId="171" fontId="10" fillId="0" borderId="43" xfId="10" applyNumberFormat="1" applyFont="1" applyFill="1" applyBorder="1" applyAlignment="1" applyProtection="1">
      <alignment horizontal="center"/>
    </xf>
    <xf numFmtId="166" fontId="10" fillId="0" borderId="43" xfId="9" applyNumberFormat="1" applyFont="1" applyFill="1" applyBorder="1" applyAlignment="1">
      <alignment horizontal="right"/>
    </xf>
    <xf numFmtId="166" fontId="10" fillId="0" borderId="43" xfId="7" applyNumberFormat="1" applyFont="1" applyBorder="1" applyAlignment="1">
      <alignment horizontal="right"/>
    </xf>
    <xf numFmtId="0" fontId="9" fillId="0" borderId="51" xfId="7" applyFont="1" applyBorder="1"/>
    <xf numFmtId="0" fontId="9" fillId="0" borderId="52" xfId="7" applyFont="1" applyBorder="1"/>
    <xf numFmtId="0" fontId="10" fillId="0" borderId="54" xfId="7" applyFont="1" applyBorder="1" applyAlignment="1">
      <alignment horizontal="center" vertical="center"/>
    </xf>
    <xf numFmtId="0" fontId="10" fillId="0" borderId="55" xfId="7" applyFont="1" applyBorder="1" applyAlignment="1">
      <alignment horizontal="center" vertical="center"/>
    </xf>
    <xf numFmtId="0" fontId="10" fillId="0" borderId="54" xfId="7" applyFont="1" applyBorder="1" applyAlignment="1">
      <alignment horizontal="center"/>
    </xf>
    <xf numFmtId="1" fontId="10" fillId="0" borderId="54" xfId="7" applyNumberFormat="1" applyFont="1" applyBorder="1" applyAlignment="1">
      <alignment horizontal="center"/>
    </xf>
    <xf numFmtId="4" fontId="9" fillId="0" borderId="54" xfId="7" applyNumberFormat="1" applyFont="1" applyBorder="1"/>
    <xf numFmtId="4" fontId="10" fillId="0" borderId="55" xfId="7" applyNumberFormat="1" applyFont="1" applyBorder="1" applyAlignment="1">
      <alignment horizontal="right"/>
    </xf>
    <xf numFmtId="4" fontId="10" fillId="0" borderId="58" xfId="7" applyNumberFormat="1" applyFont="1" applyBorder="1" applyAlignment="1">
      <alignment horizontal="right"/>
    </xf>
    <xf numFmtId="4" fontId="10" fillId="0" borderId="54" xfId="7" applyNumberFormat="1" applyFont="1" applyBorder="1" applyAlignment="1">
      <alignment horizontal="center"/>
    </xf>
    <xf numFmtId="0" fontId="10" fillId="0" borderId="59" xfId="7" applyFont="1" applyBorder="1"/>
    <xf numFmtId="0" fontId="10" fillId="0" borderId="53" xfId="7" applyFont="1" applyBorder="1" applyAlignment="1">
      <alignment horizontal="center"/>
    </xf>
    <xf numFmtId="0" fontId="10" fillId="0" borderId="53" xfId="7" applyFont="1" applyBorder="1" applyAlignment="1">
      <alignment horizontal="left"/>
    </xf>
    <xf numFmtId="0" fontId="10" fillId="0" borderId="54" xfId="7" applyFont="1" applyBorder="1" applyAlignment="1">
      <alignment horizontal="left"/>
    </xf>
    <xf numFmtId="9" fontId="10" fillId="0" borderId="54" xfId="7" applyNumberFormat="1" applyFont="1" applyBorder="1" applyAlignment="1">
      <alignment horizontal="center"/>
    </xf>
    <xf numFmtId="4" fontId="10" fillId="0" borderId="54" xfId="7" applyNumberFormat="1" applyFont="1" applyBorder="1" applyAlignment="1">
      <alignment horizontal="right"/>
    </xf>
    <xf numFmtId="166" fontId="10" fillId="0" borderId="54" xfId="7" applyNumberFormat="1" applyFont="1" applyBorder="1" applyAlignment="1">
      <alignment horizontal="center"/>
    </xf>
    <xf numFmtId="0" fontId="10" fillId="0" borderId="54" xfId="7" applyFont="1" applyBorder="1"/>
    <xf numFmtId="0" fontId="10" fillId="0" borderId="56" xfId="7" applyFont="1" applyBorder="1" applyAlignment="1">
      <alignment horizontal="center"/>
    </xf>
    <xf numFmtId="0" fontId="10" fillId="0" borderId="54" xfId="7" applyFont="1" applyBorder="1" applyAlignment="1">
      <alignment horizontal="centerContinuous"/>
    </xf>
    <xf numFmtId="170" fontId="10" fillId="0" borderId="54" xfId="7" applyNumberFormat="1" applyFont="1" applyBorder="1" applyAlignment="1">
      <alignment horizontal="left" indent="2"/>
    </xf>
    <xf numFmtId="171" fontId="10" fillId="0" borderId="54" xfId="10" applyNumberFormat="1" applyFont="1" applyFill="1" applyBorder="1" applyAlignment="1" applyProtection="1">
      <alignment horizontal="center"/>
    </xf>
    <xf numFmtId="166" fontId="10" fillId="0" borderId="54" xfId="9" applyNumberFormat="1" applyFont="1" applyFill="1" applyBorder="1" applyAlignment="1">
      <alignment horizontal="right"/>
    </xf>
    <xf numFmtId="166" fontId="10" fillId="0" borderId="54" xfId="7" applyNumberFormat="1" applyFont="1" applyBorder="1" applyAlignment="1">
      <alignment horizontal="right"/>
    </xf>
    <xf numFmtId="166" fontId="10" fillId="0" borderId="63" xfId="9" applyNumberFormat="1" applyFont="1" applyFill="1" applyBorder="1" applyAlignment="1">
      <alignment horizontal="right"/>
    </xf>
    <xf numFmtId="0" fontId="24" fillId="0" borderId="0" xfId="4" applyFont="1"/>
    <xf numFmtId="0" fontId="25" fillId="0" borderId="19" xfId="4" applyFont="1" applyBorder="1" applyAlignment="1">
      <alignment vertical="center"/>
    </xf>
    <xf numFmtId="0" fontId="26" fillId="0" borderId="20" xfId="4" applyFont="1" applyBorder="1" applyAlignment="1">
      <alignment horizontal="center" vertical="center"/>
    </xf>
    <xf numFmtId="43" fontId="26" fillId="0" borderId="20" xfId="11" applyNumberFormat="1" applyFont="1" applyFill="1" applyBorder="1" applyAlignment="1" applyProtection="1">
      <alignment vertical="center"/>
    </xf>
    <xf numFmtId="43" fontId="26" fillId="0" borderId="20" xfId="11" applyNumberFormat="1" applyFont="1" applyFill="1" applyBorder="1" applyAlignment="1" applyProtection="1">
      <alignment horizontal="center" vertical="center" wrapText="1"/>
    </xf>
    <xf numFmtId="43" fontId="27" fillId="0" borderId="18" xfId="11" applyNumberFormat="1" applyFont="1" applyFill="1" applyBorder="1" applyAlignment="1" applyProtection="1">
      <alignment horizontal="center" vertical="center" wrapText="1"/>
    </xf>
    <xf numFmtId="0" fontId="28" fillId="0" borderId="15" xfId="4" applyFont="1" applyBorder="1" applyAlignment="1">
      <alignment horizontal="left" vertical="top" wrapText="1"/>
    </xf>
    <xf numFmtId="0" fontId="24" fillId="0" borderId="0" xfId="4" applyFont="1" applyAlignment="1">
      <alignment horizontal="center" vertical="center"/>
    </xf>
    <xf numFmtId="43" fontId="24" fillId="0" borderId="0" xfId="11" applyNumberFormat="1" applyFont="1" applyFill="1" applyBorder="1" applyAlignment="1" applyProtection="1"/>
    <xf numFmtId="43" fontId="24" fillId="0" borderId="0" xfId="11" applyNumberFormat="1" applyFont="1" applyBorder="1" applyAlignment="1">
      <alignment horizontal="right" vertical="center"/>
    </xf>
    <xf numFmtId="43" fontId="24" fillId="0" borderId="16" xfId="11" applyNumberFormat="1" applyFont="1" applyFill="1" applyBorder="1" applyAlignment="1" applyProtection="1"/>
    <xf numFmtId="0" fontId="25" fillId="0" borderId="60" xfId="4" applyFont="1" applyBorder="1" applyAlignment="1">
      <alignment horizontal="left" vertical="top" wrapText="1"/>
    </xf>
    <xf numFmtId="0" fontId="24" fillId="0" borderId="61" xfId="4" applyFont="1" applyBorder="1" applyAlignment="1">
      <alignment horizontal="center" vertical="center"/>
    </xf>
    <xf numFmtId="43" fontId="24" fillId="0" borderId="61" xfId="11" applyNumberFormat="1" applyFont="1" applyFill="1" applyBorder="1" applyAlignment="1" applyProtection="1"/>
    <xf numFmtId="43" fontId="24" fillId="0" borderId="62" xfId="11" applyNumberFormat="1" applyFont="1" applyFill="1" applyBorder="1" applyAlignment="1" applyProtection="1"/>
    <xf numFmtId="0" fontId="25" fillId="0" borderId="60" xfId="4" applyFont="1" applyBorder="1" applyAlignment="1">
      <alignment vertical="center"/>
    </xf>
    <xf numFmtId="43" fontId="26" fillId="0" borderId="62" xfId="11" applyNumberFormat="1" applyFont="1" applyFill="1" applyBorder="1" applyAlignment="1">
      <alignment horizontal="right" vertical="center"/>
    </xf>
    <xf numFmtId="0" fontId="28" fillId="0" borderId="60" xfId="4" applyFont="1" applyBorder="1" applyAlignment="1">
      <alignment vertical="center"/>
    </xf>
    <xf numFmtId="43" fontId="24" fillId="0" borderId="61" xfId="11" applyNumberFormat="1" applyFont="1" applyFill="1" applyBorder="1" applyAlignment="1">
      <alignment horizontal="right" vertical="center"/>
    </xf>
    <xf numFmtId="43" fontId="24" fillId="0" borderId="62" xfId="11" applyNumberFormat="1" applyFont="1" applyFill="1" applyBorder="1" applyAlignment="1">
      <alignment horizontal="right" vertical="center"/>
    </xf>
    <xf numFmtId="172" fontId="24" fillId="0" borderId="61" xfId="4" applyNumberFormat="1" applyFont="1" applyBorder="1" applyAlignment="1">
      <alignment horizontal="right" vertical="center"/>
    </xf>
    <xf numFmtId="172" fontId="24" fillId="0" borderId="62" xfId="4" applyNumberFormat="1" applyFont="1" applyBorder="1" applyAlignment="1">
      <alignment horizontal="right" vertical="center"/>
    </xf>
    <xf numFmtId="0" fontId="29" fillId="0" borderId="61" xfId="4" applyFont="1" applyBorder="1" applyAlignment="1">
      <alignment horizontal="center" vertical="center"/>
    </xf>
    <xf numFmtId="0" fontId="24" fillId="0" borderId="61" xfId="4" applyFont="1" applyBorder="1"/>
    <xf numFmtId="0" fontId="24" fillId="0" borderId="61" xfId="4" applyFont="1" applyBorder="1" applyAlignment="1">
      <alignment horizontal="center"/>
    </xf>
    <xf numFmtId="0" fontId="24" fillId="0" borderId="0" xfId="4" applyFont="1" applyAlignment="1">
      <alignment horizontal="center"/>
    </xf>
    <xf numFmtId="165" fontId="15" fillId="0" borderId="0" xfId="6" applyNumberFormat="1" applyFont="1"/>
    <xf numFmtId="0" fontId="8" fillId="3" borderId="61" xfId="4" applyFont="1" applyFill="1" applyBorder="1" applyAlignment="1">
      <alignment horizontal="center"/>
    </xf>
    <xf numFmtId="166" fontId="8" fillId="3" borderId="62" xfId="5" applyFont="1" applyFill="1" applyBorder="1" applyAlignment="1">
      <alignment horizontal="center"/>
    </xf>
    <xf numFmtId="167" fontId="8" fillId="0" borderId="61" xfId="5" applyNumberFormat="1" applyFont="1" applyBorder="1"/>
    <xf numFmtId="166" fontId="8" fillId="0" borderId="62" xfId="5" applyFont="1" applyBorder="1"/>
    <xf numFmtId="10" fontId="7" fillId="3" borderId="61" xfId="4" applyNumberFormat="1" applyFont="1" applyFill="1" applyBorder="1"/>
    <xf numFmtId="10" fontId="15" fillId="0" borderId="0" xfId="4" applyNumberFormat="1" applyFont="1"/>
    <xf numFmtId="10" fontId="17" fillId="0" borderId="0" xfId="4" applyNumberFormat="1"/>
    <xf numFmtId="0" fontId="14" fillId="0" borderId="60" xfId="4" applyFont="1" applyBorder="1"/>
    <xf numFmtId="0" fontId="17" fillId="0" borderId="61" xfId="4" applyBorder="1"/>
    <xf numFmtId="166" fontId="17" fillId="0" borderId="62" xfId="5" applyFont="1" applyFill="1" applyBorder="1" applyAlignment="1" applyProtection="1"/>
    <xf numFmtId="0" fontId="15" fillId="3" borderId="60" xfId="4" applyFont="1" applyFill="1" applyBorder="1"/>
    <xf numFmtId="0" fontId="17" fillId="3" borderId="61" xfId="4" applyFill="1" applyBorder="1"/>
    <xf numFmtId="166" fontId="8" fillId="3" borderId="62" xfId="5" applyFont="1" applyFill="1" applyBorder="1"/>
    <xf numFmtId="0" fontId="15" fillId="0" borderId="60" xfId="4" applyFont="1" applyBorder="1"/>
    <xf numFmtId="10" fontId="8" fillId="0" borderId="61" xfId="6" applyNumberFormat="1" applyFont="1" applyBorder="1" applyAlignment="1">
      <alignment horizontal="center"/>
    </xf>
    <xf numFmtId="0" fontId="8" fillId="0" borderId="61" xfId="4" applyFont="1" applyBorder="1" applyAlignment="1">
      <alignment horizontal="center"/>
    </xf>
    <xf numFmtId="166" fontId="8" fillId="0" borderId="61" xfId="5" applyFont="1" applyBorder="1" applyAlignment="1">
      <alignment horizontal="center"/>
    </xf>
    <xf numFmtId="167" fontId="19" fillId="3" borderId="61" xfId="5" applyNumberFormat="1" applyFont="1" applyFill="1" applyBorder="1"/>
    <xf numFmtId="168" fontId="17" fillId="0" borderId="0" xfId="4" applyNumberFormat="1"/>
    <xf numFmtId="166" fontId="17" fillId="0" borderId="0" xfId="5" applyFont="1" applyFill="1" applyBorder="1" applyAlignment="1" applyProtection="1"/>
    <xf numFmtId="0" fontId="3" fillId="0" borderId="8" xfId="0" applyFont="1" applyBorder="1" applyAlignment="1">
      <alignment horizontal="left" wrapText="1"/>
    </xf>
    <xf numFmtId="0" fontId="3" fillId="0" borderId="8" xfId="0" applyFont="1" applyBorder="1"/>
    <xf numFmtId="42" fontId="4" fillId="0" borderId="8" xfId="1" applyFont="1" applyBorder="1" applyAlignment="1">
      <alignment horizontal="left" vertical="center"/>
    </xf>
    <xf numFmtId="0" fontId="3" fillId="0" borderId="8" xfId="0" applyFont="1" applyBorder="1" applyAlignment="1">
      <alignment horizontal="left" vertical="center" wrapText="1"/>
    </xf>
    <xf numFmtId="0" fontId="3" fillId="0" borderId="8" xfId="0" applyFont="1" applyBorder="1" applyAlignment="1">
      <alignment horizontal="center" vertical="center"/>
    </xf>
    <xf numFmtId="0" fontId="3" fillId="0" borderId="8" xfId="0" applyFont="1" applyBorder="1" applyAlignment="1">
      <alignment horizontal="center"/>
    </xf>
    <xf numFmtId="4" fontId="10" fillId="0" borderId="7" xfId="9" applyNumberFormat="1" applyFont="1" applyFill="1" applyBorder="1" applyAlignment="1">
      <alignment horizontal="center" vertical="center"/>
    </xf>
    <xf numFmtId="166" fontId="10" fillId="0" borderId="7" xfId="9" applyNumberFormat="1" applyFont="1" applyFill="1" applyBorder="1" applyAlignment="1">
      <alignment horizontal="right" vertical="center"/>
    </xf>
    <xf numFmtId="1" fontId="10" fillId="0" borderId="43" xfId="7" applyNumberFormat="1" applyFont="1" applyBorder="1" applyAlignment="1">
      <alignment horizontal="center" vertical="center"/>
    </xf>
    <xf numFmtId="166" fontId="10" fillId="0" borderId="7" xfId="7" applyNumberFormat="1" applyFont="1" applyBorder="1" applyAlignment="1">
      <alignment horizontal="right" vertical="center"/>
    </xf>
    <xf numFmtId="0" fontId="2" fillId="0" borderId="5" xfId="0" applyFont="1" applyBorder="1"/>
    <xf numFmtId="0" fontId="14" fillId="0" borderId="15" xfId="4" applyFont="1" applyBorder="1" applyAlignment="1">
      <alignment horizontal="center"/>
    </xf>
    <xf numFmtId="0" fontId="14" fillId="0" borderId="0" xfId="4" applyFont="1" applyAlignment="1">
      <alignment horizontal="center"/>
    </xf>
    <xf numFmtId="0" fontId="14" fillId="0" borderId="16" xfId="4" applyFont="1" applyBorder="1" applyAlignment="1">
      <alignment horizontal="center"/>
    </xf>
    <xf numFmtId="0" fontId="11" fillId="0" borderId="15" xfId="4" applyFont="1" applyBorder="1" applyAlignment="1">
      <alignment horizontal="left" vertical="top" wrapText="1"/>
    </xf>
    <xf numFmtId="0" fontId="11" fillId="0" borderId="0" xfId="4" applyFont="1" applyAlignment="1">
      <alignment horizontal="left" vertical="top" wrapText="1"/>
    </xf>
    <xf numFmtId="0" fontId="11" fillId="0" borderId="16" xfId="4" applyFont="1" applyBorder="1" applyAlignment="1">
      <alignment horizontal="left" vertical="top" wrapText="1"/>
    </xf>
    <xf numFmtId="0" fontId="23" fillId="2" borderId="17" xfId="4" applyFont="1" applyFill="1" applyBorder="1" applyAlignment="1">
      <alignment horizontal="center" vertical="top" wrapText="1"/>
    </xf>
    <xf numFmtId="0" fontId="23" fillId="2" borderId="24" xfId="4" applyFont="1" applyFill="1" applyBorder="1" applyAlignment="1">
      <alignment horizontal="center" vertical="top" wrapText="1"/>
    </xf>
    <xf numFmtId="0" fontId="23" fillId="2" borderId="25" xfId="4" applyFont="1" applyFill="1" applyBorder="1" applyAlignment="1">
      <alignment horizontal="center" vertical="top" wrapText="1"/>
    </xf>
    <xf numFmtId="0" fontId="13" fillId="0" borderId="2" xfId="0" applyFont="1" applyBorder="1" applyAlignment="1">
      <alignment horizontal="center"/>
    </xf>
    <xf numFmtId="0" fontId="0" fillId="0" borderId="8" xfId="0" applyBorder="1" applyAlignment="1">
      <alignment horizontal="center"/>
    </xf>
    <xf numFmtId="0" fontId="0" fillId="0" borderId="4" xfId="0" applyBorder="1" applyAlignment="1">
      <alignment horizontal="center"/>
    </xf>
    <xf numFmtId="0" fontId="4" fillId="0" borderId="12" xfId="0" applyFont="1" applyBorder="1" applyAlignment="1">
      <alignment horizontal="left" wrapText="1"/>
    </xf>
    <xf numFmtId="0" fontId="4" fillId="0" borderId="6" xfId="0" applyFont="1" applyBorder="1" applyAlignment="1">
      <alignment horizontal="left" wrapText="1"/>
    </xf>
    <xf numFmtId="0" fontId="10" fillId="0" borderId="32" xfId="7" applyFont="1" applyBorder="1" applyAlignment="1">
      <alignment horizontal="left"/>
    </xf>
    <xf numFmtId="0" fontId="10" fillId="0" borderId="33" xfId="7" applyFont="1" applyBorder="1" applyAlignment="1">
      <alignment horizontal="left"/>
    </xf>
    <xf numFmtId="0" fontId="20" fillId="0" borderId="17" xfId="7" applyFont="1" applyBorder="1" applyAlignment="1">
      <alignment horizontal="center" vertical="center"/>
    </xf>
    <xf numFmtId="0" fontId="20" fillId="0" borderId="24" xfId="7" applyFont="1" applyBorder="1" applyAlignment="1">
      <alignment horizontal="center" vertical="center"/>
    </xf>
    <xf numFmtId="0" fontId="20" fillId="0" borderId="25" xfId="7" applyFont="1" applyBorder="1" applyAlignment="1">
      <alignment horizontal="center" vertical="center"/>
    </xf>
    <xf numFmtId="0" fontId="9" fillId="0" borderId="2" xfId="7" applyFont="1" applyBorder="1" applyAlignment="1">
      <alignment horizontal="left"/>
    </xf>
    <xf numFmtId="0" fontId="9" fillId="0" borderId="26" xfId="7" applyFont="1" applyBorder="1" applyAlignment="1">
      <alignment horizontal="left"/>
    </xf>
    <xf numFmtId="0" fontId="10" fillId="0" borderId="29" xfId="7" applyFont="1" applyBorder="1" applyAlignment="1">
      <alignment horizontal="center" vertical="center"/>
    </xf>
    <xf numFmtId="0" fontId="10" fillId="0" borderId="30" xfId="7" applyFont="1" applyBorder="1" applyAlignment="1">
      <alignment horizontal="center" vertical="center"/>
    </xf>
    <xf numFmtId="0" fontId="10" fillId="0" borderId="45" xfId="7" applyFont="1" applyBorder="1" applyAlignment="1">
      <alignment horizontal="left"/>
    </xf>
    <xf numFmtId="0" fontId="10" fillId="0" borderId="46" xfId="7" applyFont="1" applyBorder="1" applyAlignment="1">
      <alignment horizontal="left"/>
    </xf>
    <xf numFmtId="1" fontId="9" fillId="0" borderId="0" xfId="7" applyNumberFormat="1" applyFont="1" applyAlignment="1">
      <alignment horizontal="center"/>
    </xf>
    <xf numFmtId="0" fontId="10" fillId="0" borderId="42" xfId="7" applyFont="1" applyBorder="1" applyAlignment="1">
      <alignment horizontal="center" vertical="center"/>
    </xf>
    <xf numFmtId="0" fontId="10" fillId="0" borderId="43" xfId="7" applyFont="1" applyBorder="1" applyAlignment="1">
      <alignment horizontal="center" vertical="center"/>
    </xf>
    <xf numFmtId="0" fontId="10" fillId="0" borderId="45" xfId="7" applyFont="1" applyBorder="1" applyAlignment="1">
      <alignment horizontal="left" wrapText="1"/>
    </xf>
    <xf numFmtId="0" fontId="10" fillId="0" borderId="46" xfId="7" applyFont="1" applyBorder="1" applyAlignment="1">
      <alignment horizontal="left" wrapText="1"/>
    </xf>
    <xf numFmtId="0" fontId="10" fillId="0" borderId="53" xfId="7" applyFont="1" applyBorder="1" applyAlignment="1">
      <alignment horizontal="center" vertical="center"/>
    </xf>
    <xf numFmtId="0" fontId="10" fillId="0" borderId="54" xfId="7" applyFont="1" applyBorder="1" applyAlignment="1">
      <alignment horizontal="center" vertical="center"/>
    </xf>
    <xf numFmtId="0" fontId="10" fillId="0" borderId="64" xfId="7" applyFont="1" applyBorder="1" applyAlignment="1">
      <alignment horizontal="left"/>
    </xf>
    <xf numFmtId="0" fontId="10" fillId="0" borderId="65" xfId="7" applyFont="1" applyBorder="1" applyAlignment="1">
      <alignment horizontal="left"/>
    </xf>
    <xf numFmtId="0" fontId="10" fillId="0" borderId="56" xfId="7" applyFont="1" applyBorder="1" applyAlignment="1">
      <alignment horizontal="left"/>
    </xf>
    <xf numFmtId="0" fontId="10" fillId="0" borderId="57" xfId="7" applyFont="1" applyBorder="1" applyAlignment="1">
      <alignment horizontal="left"/>
    </xf>
    <xf numFmtId="0" fontId="1" fillId="0" borderId="5" xfId="0" applyFont="1" applyBorder="1" applyAlignment="1">
      <alignment horizontal="left" wrapText="1"/>
    </xf>
    <xf numFmtId="0" fontId="1" fillId="0" borderId="5" xfId="0" applyFont="1" applyBorder="1"/>
  </cellXfs>
  <cellStyles count="12">
    <cellStyle name="Millares 2" xfId="9" xr:uid="{08045840-F4B8-1C43-8324-874C30029B28}"/>
    <cellStyle name="Millares 3 6" xfId="6" xr:uid="{45E4DD06-16D0-AC4F-9247-F3A1F98747D6}"/>
    <cellStyle name="Millares 7 6" xfId="11" xr:uid="{BD719C39-CEA9-6F49-8EBE-05B86582B6EA}"/>
    <cellStyle name="Moneda" xfId="2" builtinId="4"/>
    <cellStyle name="Moneda [0]" xfId="1" builtinId="7"/>
    <cellStyle name="Moneda 14" xfId="5" xr:uid="{552D14DF-E955-844E-91F2-4AF42F6821BD}"/>
    <cellStyle name="Normal" xfId="0" builtinId="0"/>
    <cellStyle name="Normal 104" xfId="8" xr:uid="{8112CD23-1205-D14A-9E81-68BEFE74B084}"/>
    <cellStyle name="Normal 2 10" xfId="7" xr:uid="{FC7B4221-36EF-064E-82D0-6C0AC9B042CE}"/>
    <cellStyle name="Normal 2 6" xfId="4" xr:uid="{40A7FD81-8ECC-5A49-BC3C-507C5FB0B57D}"/>
    <cellStyle name="Porcentaje" xfId="3" builtinId="5"/>
    <cellStyle name="Porcentaje 2" xfId="10" xr:uid="{D139C413-98CE-BC46-B1F4-6A333A4377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180976</xdr:colOff>
      <xdr:row>28</xdr:row>
      <xdr:rowOff>100965</xdr:rowOff>
    </xdr:from>
    <xdr:to>
      <xdr:col>12</xdr:col>
      <xdr:colOff>688576</xdr:colOff>
      <xdr:row>43</xdr:row>
      <xdr:rowOff>0</xdr:rowOff>
    </xdr:to>
    <xdr:pic>
      <xdr:nvPicPr>
        <xdr:cNvPr id="2" name="Imagen 1">
          <a:extLst>
            <a:ext uri="{FF2B5EF4-FFF2-40B4-BE49-F238E27FC236}">
              <a16:creationId xmlns:a16="http://schemas.microsoft.com/office/drawing/2014/main" id="{7DD6E012-108F-3B4D-B2B2-8F1BDF067059}"/>
            </a:ext>
          </a:extLst>
        </xdr:cNvPr>
        <xdr:cNvPicPr>
          <a:picLocks noChangeAspect="1"/>
        </xdr:cNvPicPr>
      </xdr:nvPicPr>
      <xdr:blipFill>
        <a:blip xmlns:r="http://schemas.openxmlformats.org/officeDocument/2006/relationships" r:embed="rId1"/>
        <a:stretch>
          <a:fillRect/>
        </a:stretch>
      </xdr:blipFill>
      <xdr:spPr>
        <a:xfrm>
          <a:off x="8689976" y="3796665"/>
          <a:ext cx="5460600" cy="27565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Downloads/PPTO%20DE%20OBRA%20CALLE%2026%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HP/Documents/Ing%20Luis%20Arce/CONSTRUARQUING%20--%20Mompox/MARGARITA%20BOLIVAR/Proyecto%20300%20m%20Causado%202022/Proceso%20de%20licitacion/PRESUPUESTO%20PAV%20ACCESO%20PUEN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OFICIAL "/>
      <sheetName val="MEMORIA DE CALCULO "/>
      <sheetName val="FORMATO APU"/>
      <sheetName val="PAPSO &amp; PMA"/>
      <sheetName val="PMT (2)"/>
      <sheetName val="ANALISIS BASICOS (2)"/>
      <sheetName val="DESGLOSE DEL AIU"/>
      <sheetName val="MO"/>
      <sheetName val="F .M."/>
      <sheetName val="Factor Presta"/>
      <sheetName val="Memoria de Calculo -AJUSTADO"/>
      <sheetName val="BALANCE "/>
      <sheetName val="INTERVENTORIA"/>
      <sheetName val="PTO. INTERVENTORIA "/>
      <sheetName val="DIAGRAMA DE GANTT"/>
      <sheetName val="Data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24">
          <cell r="D24">
            <v>1.8829</v>
          </cell>
        </row>
      </sheetData>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BASICOS (2)"/>
      <sheetName val="DISTANCIA DE ACARREO "/>
      <sheetName val="Memoria de Calculo -AJUSTADO"/>
      <sheetName val="AIU"/>
      <sheetName val="APU INVIAS"/>
      <sheetName val="INTERVENTORIA"/>
      <sheetName val="AIU + PGIO"/>
      <sheetName val="PPTO TIPO  invias"/>
      <sheetName val="CRONOGRAMA (2)"/>
      <sheetName val="ANALISIS BASICOS"/>
      <sheetName val="PMT"/>
      <sheetName val="INSUMOS"/>
      <sheetName val="F .M."/>
      <sheetName val="Factor Presta"/>
      <sheetName val="PERFIL "/>
      <sheetName val="MO"/>
      <sheetName val="CRONOGRAMA"/>
      <sheetName val="memoria real"/>
      <sheetName val="ANALISIS AIU "/>
    </sheetNames>
    <sheetDataSet>
      <sheetData sheetId="0" refreshError="1"/>
      <sheetData sheetId="1" refreshError="1">
        <row r="9">
          <cell r="F9">
            <v>26</v>
          </cell>
        </row>
        <row r="10">
          <cell r="F10">
            <v>184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1">
          <cell r="C11">
            <v>6500</v>
          </cell>
        </row>
        <row r="12">
          <cell r="C12">
            <v>60</v>
          </cell>
        </row>
        <row r="33">
          <cell r="C33">
            <v>700</v>
          </cell>
        </row>
        <row r="34">
          <cell r="C34">
            <v>90000</v>
          </cell>
        </row>
        <row r="35">
          <cell r="C35">
            <v>105000</v>
          </cell>
        </row>
      </sheetData>
      <sheetData sheetId="12" refreshError="1"/>
      <sheetData sheetId="13" refreshError="1"/>
      <sheetData sheetId="14" refreshError="1"/>
      <sheetData sheetId="15" refreshError="1">
        <row r="35">
          <cell r="C35">
            <v>30863.841666666667</v>
          </cell>
        </row>
      </sheetData>
      <sheetData sheetId="16" refreshError="1"/>
      <sheetData sheetId="17" refreshError="1"/>
      <sheetData sheetId="18"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F098D-EF09-9742-ACA6-1860575C2DEA}">
  <dimension ref="A1:J36"/>
  <sheetViews>
    <sheetView workbookViewId="0">
      <selection activeCell="A18" sqref="A18"/>
    </sheetView>
  </sheetViews>
  <sheetFormatPr baseColWidth="10" defaultColWidth="11.5" defaultRowHeight="13"/>
  <cols>
    <col min="1" max="1" width="44.33203125" style="40" customWidth="1"/>
    <col min="2" max="2" width="10.83203125" style="40" customWidth="1"/>
    <col min="3" max="3" width="15.6640625" style="40" customWidth="1"/>
    <col min="4" max="4" width="15.6640625" style="207" customWidth="1"/>
    <col min="5" max="7" width="11.5" style="40"/>
    <col min="8" max="8" width="21.1640625" style="40" customWidth="1"/>
    <col min="9" max="9" width="18.5" style="40" bestFit="1" customWidth="1"/>
    <col min="10" max="10" width="11.5" style="40"/>
    <col min="11" max="11" width="12.5" style="40" bestFit="1" customWidth="1"/>
    <col min="12" max="255" width="11.5" style="40"/>
    <col min="256" max="256" width="37.5" style="40" customWidth="1"/>
    <col min="257" max="257" width="12.6640625" style="40" customWidth="1"/>
    <col min="258" max="258" width="13.6640625" style="40" customWidth="1"/>
    <col min="259" max="259" width="14.6640625" style="40" customWidth="1"/>
    <col min="260" max="263" width="11.5" style="40"/>
    <col min="264" max="264" width="21.1640625" style="40" customWidth="1"/>
    <col min="265" max="265" width="18.5" style="40" bestFit="1" customWidth="1"/>
    <col min="266" max="266" width="11.5" style="40"/>
    <col min="267" max="267" width="12.5" style="40" bestFit="1" customWidth="1"/>
    <col min="268" max="511" width="11.5" style="40"/>
    <col min="512" max="512" width="37.5" style="40" customWidth="1"/>
    <col min="513" max="513" width="12.6640625" style="40" customWidth="1"/>
    <col min="514" max="514" width="13.6640625" style="40" customWidth="1"/>
    <col min="515" max="515" width="14.6640625" style="40" customWidth="1"/>
    <col min="516" max="519" width="11.5" style="40"/>
    <col min="520" max="520" width="21.1640625" style="40" customWidth="1"/>
    <col min="521" max="521" width="18.5" style="40" bestFit="1" customWidth="1"/>
    <col min="522" max="522" width="11.5" style="40"/>
    <col min="523" max="523" width="12.5" style="40" bestFit="1" customWidth="1"/>
    <col min="524" max="767" width="11.5" style="40"/>
    <col min="768" max="768" width="37.5" style="40" customWidth="1"/>
    <col min="769" max="769" width="12.6640625" style="40" customWidth="1"/>
    <col min="770" max="770" width="13.6640625" style="40" customWidth="1"/>
    <col min="771" max="771" width="14.6640625" style="40" customWidth="1"/>
    <col min="772" max="775" width="11.5" style="40"/>
    <col min="776" max="776" width="21.1640625" style="40" customWidth="1"/>
    <col min="777" max="777" width="18.5" style="40" bestFit="1" customWidth="1"/>
    <col min="778" max="778" width="11.5" style="40"/>
    <col min="779" max="779" width="12.5" style="40" bestFit="1" customWidth="1"/>
    <col min="780" max="1023" width="11.5" style="40"/>
    <col min="1024" max="1024" width="37.5" style="40" customWidth="1"/>
    <col min="1025" max="1025" width="12.6640625" style="40" customWidth="1"/>
    <col min="1026" max="1026" width="13.6640625" style="40" customWidth="1"/>
    <col min="1027" max="1027" width="14.6640625" style="40" customWidth="1"/>
    <col min="1028" max="1031" width="11.5" style="40"/>
    <col min="1032" max="1032" width="21.1640625" style="40" customWidth="1"/>
    <col min="1033" max="1033" width="18.5" style="40" bestFit="1" customWidth="1"/>
    <col min="1034" max="1034" width="11.5" style="40"/>
    <col min="1035" max="1035" width="12.5" style="40" bestFit="1" customWidth="1"/>
    <col min="1036" max="1279" width="11.5" style="40"/>
    <col min="1280" max="1280" width="37.5" style="40" customWidth="1"/>
    <col min="1281" max="1281" width="12.6640625" style="40" customWidth="1"/>
    <col min="1282" max="1282" width="13.6640625" style="40" customWidth="1"/>
    <col min="1283" max="1283" width="14.6640625" style="40" customWidth="1"/>
    <col min="1284" max="1287" width="11.5" style="40"/>
    <col min="1288" max="1288" width="21.1640625" style="40" customWidth="1"/>
    <col min="1289" max="1289" width="18.5" style="40" bestFit="1" customWidth="1"/>
    <col min="1290" max="1290" width="11.5" style="40"/>
    <col min="1291" max="1291" width="12.5" style="40" bestFit="1" customWidth="1"/>
    <col min="1292" max="1535" width="11.5" style="40"/>
    <col min="1536" max="1536" width="37.5" style="40" customWidth="1"/>
    <col min="1537" max="1537" width="12.6640625" style="40" customWidth="1"/>
    <col min="1538" max="1538" width="13.6640625" style="40" customWidth="1"/>
    <col min="1539" max="1539" width="14.6640625" style="40" customWidth="1"/>
    <col min="1540" max="1543" width="11.5" style="40"/>
    <col min="1544" max="1544" width="21.1640625" style="40" customWidth="1"/>
    <col min="1545" max="1545" width="18.5" style="40" bestFit="1" customWidth="1"/>
    <col min="1546" max="1546" width="11.5" style="40"/>
    <col min="1547" max="1547" width="12.5" style="40" bestFit="1" customWidth="1"/>
    <col min="1548" max="1791" width="11.5" style="40"/>
    <col min="1792" max="1792" width="37.5" style="40" customWidth="1"/>
    <col min="1793" max="1793" width="12.6640625" style="40" customWidth="1"/>
    <col min="1794" max="1794" width="13.6640625" style="40" customWidth="1"/>
    <col min="1795" max="1795" width="14.6640625" style="40" customWidth="1"/>
    <col min="1796" max="1799" width="11.5" style="40"/>
    <col min="1800" max="1800" width="21.1640625" style="40" customWidth="1"/>
    <col min="1801" max="1801" width="18.5" style="40" bestFit="1" customWidth="1"/>
    <col min="1802" max="1802" width="11.5" style="40"/>
    <col min="1803" max="1803" width="12.5" style="40" bestFit="1" customWidth="1"/>
    <col min="1804" max="2047" width="11.5" style="40"/>
    <col min="2048" max="2048" width="37.5" style="40" customWidth="1"/>
    <col min="2049" max="2049" width="12.6640625" style="40" customWidth="1"/>
    <col min="2050" max="2050" width="13.6640625" style="40" customWidth="1"/>
    <col min="2051" max="2051" width="14.6640625" style="40" customWidth="1"/>
    <col min="2052" max="2055" width="11.5" style="40"/>
    <col min="2056" max="2056" width="21.1640625" style="40" customWidth="1"/>
    <col min="2057" max="2057" width="18.5" style="40" bestFit="1" customWidth="1"/>
    <col min="2058" max="2058" width="11.5" style="40"/>
    <col min="2059" max="2059" width="12.5" style="40" bestFit="1" customWidth="1"/>
    <col min="2060" max="2303" width="11.5" style="40"/>
    <col min="2304" max="2304" width="37.5" style="40" customWidth="1"/>
    <col min="2305" max="2305" width="12.6640625" style="40" customWidth="1"/>
    <col min="2306" max="2306" width="13.6640625" style="40" customWidth="1"/>
    <col min="2307" max="2307" width="14.6640625" style="40" customWidth="1"/>
    <col min="2308" max="2311" width="11.5" style="40"/>
    <col min="2312" max="2312" width="21.1640625" style="40" customWidth="1"/>
    <col min="2313" max="2313" width="18.5" style="40" bestFit="1" customWidth="1"/>
    <col min="2314" max="2314" width="11.5" style="40"/>
    <col min="2315" max="2315" width="12.5" style="40" bestFit="1" customWidth="1"/>
    <col min="2316" max="2559" width="11.5" style="40"/>
    <col min="2560" max="2560" width="37.5" style="40" customWidth="1"/>
    <col min="2561" max="2561" width="12.6640625" style="40" customWidth="1"/>
    <col min="2562" max="2562" width="13.6640625" style="40" customWidth="1"/>
    <col min="2563" max="2563" width="14.6640625" style="40" customWidth="1"/>
    <col min="2564" max="2567" width="11.5" style="40"/>
    <col min="2568" max="2568" width="21.1640625" style="40" customWidth="1"/>
    <col min="2569" max="2569" width="18.5" style="40" bestFit="1" customWidth="1"/>
    <col min="2570" max="2570" width="11.5" style="40"/>
    <col min="2571" max="2571" width="12.5" style="40" bestFit="1" customWidth="1"/>
    <col min="2572" max="2815" width="11.5" style="40"/>
    <col min="2816" max="2816" width="37.5" style="40" customWidth="1"/>
    <col min="2817" max="2817" width="12.6640625" style="40" customWidth="1"/>
    <col min="2818" max="2818" width="13.6640625" style="40" customWidth="1"/>
    <col min="2819" max="2819" width="14.6640625" style="40" customWidth="1"/>
    <col min="2820" max="2823" width="11.5" style="40"/>
    <col min="2824" max="2824" width="21.1640625" style="40" customWidth="1"/>
    <col min="2825" max="2825" width="18.5" style="40" bestFit="1" customWidth="1"/>
    <col min="2826" max="2826" width="11.5" style="40"/>
    <col min="2827" max="2827" width="12.5" style="40" bestFit="1" customWidth="1"/>
    <col min="2828" max="3071" width="11.5" style="40"/>
    <col min="3072" max="3072" width="37.5" style="40" customWidth="1"/>
    <col min="3073" max="3073" width="12.6640625" style="40" customWidth="1"/>
    <col min="3074" max="3074" width="13.6640625" style="40" customWidth="1"/>
    <col min="3075" max="3075" width="14.6640625" style="40" customWidth="1"/>
    <col min="3076" max="3079" width="11.5" style="40"/>
    <col min="3080" max="3080" width="21.1640625" style="40" customWidth="1"/>
    <col min="3081" max="3081" width="18.5" style="40" bestFit="1" customWidth="1"/>
    <col min="3082" max="3082" width="11.5" style="40"/>
    <col min="3083" max="3083" width="12.5" style="40" bestFit="1" customWidth="1"/>
    <col min="3084" max="3327" width="11.5" style="40"/>
    <col min="3328" max="3328" width="37.5" style="40" customWidth="1"/>
    <col min="3329" max="3329" width="12.6640625" style="40" customWidth="1"/>
    <col min="3330" max="3330" width="13.6640625" style="40" customWidth="1"/>
    <col min="3331" max="3331" width="14.6640625" style="40" customWidth="1"/>
    <col min="3332" max="3335" width="11.5" style="40"/>
    <col min="3336" max="3336" width="21.1640625" style="40" customWidth="1"/>
    <col min="3337" max="3337" width="18.5" style="40" bestFit="1" customWidth="1"/>
    <col min="3338" max="3338" width="11.5" style="40"/>
    <col min="3339" max="3339" width="12.5" style="40" bestFit="1" customWidth="1"/>
    <col min="3340" max="3583" width="11.5" style="40"/>
    <col min="3584" max="3584" width="37.5" style="40" customWidth="1"/>
    <col min="3585" max="3585" width="12.6640625" style="40" customWidth="1"/>
    <col min="3586" max="3586" width="13.6640625" style="40" customWidth="1"/>
    <col min="3587" max="3587" width="14.6640625" style="40" customWidth="1"/>
    <col min="3588" max="3591" width="11.5" style="40"/>
    <col min="3592" max="3592" width="21.1640625" style="40" customWidth="1"/>
    <col min="3593" max="3593" width="18.5" style="40" bestFit="1" customWidth="1"/>
    <col min="3594" max="3594" width="11.5" style="40"/>
    <col min="3595" max="3595" width="12.5" style="40" bestFit="1" customWidth="1"/>
    <col min="3596" max="3839" width="11.5" style="40"/>
    <col min="3840" max="3840" width="37.5" style="40" customWidth="1"/>
    <col min="3841" max="3841" width="12.6640625" style="40" customWidth="1"/>
    <col min="3842" max="3842" width="13.6640625" style="40" customWidth="1"/>
    <col min="3843" max="3843" width="14.6640625" style="40" customWidth="1"/>
    <col min="3844" max="3847" width="11.5" style="40"/>
    <col min="3848" max="3848" width="21.1640625" style="40" customWidth="1"/>
    <col min="3849" max="3849" width="18.5" style="40" bestFit="1" customWidth="1"/>
    <col min="3850" max="3850" width="11.5" style="40"/>
    <col min="3851" max="3851" width="12.5" style="40" bestFit="1" customWidth="1"/>
    <col min="3852" max="4095" width="11.5" style="40"/>
    <col min="4096" max="4096" width="37.5" style="40" customWidth="1"/>
    <col min="4097" max="4097" width="12.6640625" style="40" customWidth="1"/>
    <col min="4098" max="4098" width="13.6640625" style="40" customWidth="1"/>
    <col min="4099" max="4099" width="14.6640625" style="40" customWidth="1"/>
    <col min="4100" max="4103" width="11.5" style="40"/>
    <col min="4104" max="4104" width="21.1640625" style="40" customWidth="1"/>
    <col min="4105" max="4105" width="18.5" style="40" bestFit="1" customWidth="1"/>
    <col min="4106" max="4106" width="11.5" style="40"/>
    <col min="4107" max="4107" width="12.5" style="40" bestFit="1" customWidth="1"/>
    <col min="4108" max="4351" width="11.5" style="40"/>
    <col min="4352" max="4352" width="37.5" style="40" customWidth="1"/>
    <col min="4353" max="4353" width="12.6640625" style="40" customWidth="1"/>
    <col min="4354" max="4354" width="13.6640625" style="40" customWidth="1"/>
    <col min="4355" max="4355" width="14.6640625" style="40" customWidth="1"/>
    <col min="4356" max="4359" width="11.5" style="40"/>
    <col min="4360" max="4360" width="21.1640625" style="40" customWidth="1"/>
    <col min="4361" max="4361" width="18.5" style="40" bestFit="1" customWidth="1"/>
    <col min="4362" max="4362" width="11.5" style="40"/>
    <col min="4363" max="4363" width="12.5" style="40" bestFit="1" customWidth="1"/>
    <col min="4364" max="4607" width="11.5" style="40"/>
    <col min="4608" max="4608" width="37.5" style="40" customWidth="1"/>
    <col min="4609" max="4609" width="12.6640625" style="40" customWidth="1"/>
    <col min="4610" max="4610" width="13.6640625" style="40" customWidth="1"/>
    <col min="4611" max="4611" width="14.6640625" style="40" customWidth="1"/>
    <col min="4612" max="4615" width="11.5" style="40"/>
    <col min="4616" max="4616" width="21.1640625" style="40" customWidth="1"/>
    <col min="4617" max="4617" width="18.5" style="40" bestFit="1" customWidth="1"/>
    <col min="4618" max="4618" width="11.5" style="40"/>
    <col min="4619" max="4619" width="12.5" style="40" bestFit="1" customWidth="1"/>
    <col min="4620" max="4863" width="11.5" style="40"/>
    <col min="4864" max="4864" width="37.5" style="40" customWidth="1"/>
    <col min="4865" max="4865" width="12.6640625" style="40" customWidth="1"/>
    <col min="4866" max="4866" width="13.6640625" style="40" customWidth="1"/>
    <col min="4867" max="4867" width="14.6640625" style="40" customWidth="1"/>
    <col min="4868" max="4871" width="11.5" style="40"/>
    <col min="4872" max="4872" width="21.1640625" style="40" customWidth="1"/>
    <col min="4873" max="4873" width="18.5" style="40" bestFit="1" customWidth="1"/>
    <col min="4874" max="4874" width="11.5" style="40"/>
    <col min="4875" max="4875" width="12.5" style="40" bestFit="1" customWidth="1"/>
    <col min="4876" max="5119" width="11.5" style="40"/>
    <col min="5120" max="5120" width="37.5" style="40" customWidth="1"/>
    <col min="5121" max="5121" width="12.6640625" style="40" customWidth="1"/>
    <col min="5122" max="5122" width="13.6640625" style="40" customWidth="1"/>
    <col min="5123" max="5123" width="14.6640625" style="40" customWidth="1"/>
    <col min="5124" max="5127" width="11.5" style="40"/>
    <col min="5128" max="5128" width="21.1640625" style="40" customWidth="1"/>
    <col min="5129" max="5129" width="18.5" style="40" bestFit="1" customWidth="1"/>
    <col min="5130" max="5130" width="11.5" style="40"/>
    <col min="5131" max="5131" width="12.5" style="40" bestFit="1" customWidth="1"/>
    <col min="5132" max="5375" width="11.5" style="40"/>
    <col min="5376" max="5376" width="37.5" style="40" customWidth="1"/>
    <col min="5377" max="5377" width="12.6640625" style="40" customWidth="1"/>
    <col min="5378" max="5378" width="13.6640625" style="40" customWidth="1"/>
    <col min="5379" max="5379" width="14.6640625" style="40" customWidth="1"/>
    <col min="5380" max="5383" width="11.5" style="40"/>
    <col min="5384" max="5384" width="21.1640625" style="40" customWidth="1"/>
    <col min="5385" max="5385" width="18.5" style="40" bestFit="1" customWidth="1"/>
    <col min="5386" max="5386" width="11.5" style="40"/>
    <col min="5387" max="5387" width="12.5" style="40" bestFit="1" customWidth="1"/>
    <col min="5388" max="5631" width="11.5" style="40"/>
    <col min="5632" max="5632" width="37.5" style="40" customWidth="1"/>
    <col min="5633" max="5633" width="12.6640625" style="40" customWidth="1"/>
    <col min="5634" max="5634" width="13.6640625" style="40" customWidth="1"/>
    <col min="5635" max="5635" width="14.6640625" style="40" customWidth="1"/>
    <col min="5636" max="5639" width="11.5" style="40"/>
    <col min="5640" max="5640" width="21.1640625" style="40" customWidth="1"/>
    <col min="5641" max="5641" width="18.5" style="40" bestFit="1" customWidth="1"/>
    <col min="5642" max="5642" width="11.5" style="40"/>
    <col min="5643" max="5643" width="12.5" style="40" bestFit="1" customWidth="1"/>
    <col min="5644" max="5887" width="11.5" style="40"/>
    <col min="5888" max="5888" width="37.5" style="40" customWidth="1"/>
    <col min="5889" max="5889" width="12.6640625" style="40" customWidth="1"/>
    <col min="5890" max="5890" width="13.6640625" style="40" customWidth="1"/>
    <col min="5891" max="5891" width="14.6640625" style="40" customWidth="1"/>
    <col min="5892" max="5895" width="11.5" style="40"/>
    <col min="5896" max="5896" width="21.1640625" style="40" customWidth="1"/>
    <col min="5897" max="5897" width="18.5" style="40" bestFit="1" customWidth="1"/>
    <col min="5898" max="5898" width="11.5" style="40"/>
    <col min="5899" max="5899" width="12.5" style="40" bestFit="1" customWidth="1"/>
    <col min="5900" max="6143" width="11.5" style="40"/>
    <col min="6144" max="6144" width="37.5" style="40" customWidth="1"/>
    <col min="6145" max="6145" width="12.6640625" style="40" customWidth="1"/>
    <col min="6146" max="6146" width="13.6640625" style="40" customWidth="1"/>
    <col min="6147" max="6147" width="14.6640625" style="40" customWidth="1"/>
    <col min="6148" max="6151" width="11.5" style="40"/>
    <col min="6152" max="6152" width="21.1640625" style="40" customWidth="1"/>
    <col min="6153" max="6153" width="18.5" style="40" bestFit="1" customWidth="1"/>
    <col min="6154" max="6154" width="11.5" style="40"/>
    <col min="6155" max="6155" width="12.5" style="40" bestFit="1" customWidth="1"/>
    <col min="6156" max="6399" width="11.5" style="40"/>
    <col min="6400" max="6400" width="37.5" style="40" customWidth="1"/>
    <col min="6401" max="6401" width="12.6640625" style="40" customWidth="1"/>
    <col min="6402" max="6402" width="13.6640625" style="40" customWidth="1"/>
    <col min="6403" max="6403" width="14.6640625" style="40" customWidth="1"/>
    <col min="6404" max="6407" width="11.5" style="40"/>
    <col min="6408" max="6408" width="21.1640625" style="40" customWidth="1"/>
    <col min="6409" max="6409" width="18.5" style="40" bestFit="1" customWidth="1"/>
    <col min="6410" max="6410" width="11.5" style="40"/>
    <col min="6411" max="6411" width="12.5" style="40" bestFit="1" customWidth="1"/>
    <col min="6412" max="6655" width="11.5" style="40"/>
    <col min="6656" max="6656" width="37.5" style="40" customWidth="1"/>
    <col min="6657" max="6657" width="12.6640625" style="40" customWidth="1"/>
    <col min="6658" max="6658" width="13.6640625" style="40" customWidth="1"/>
    <col min="6659" max="6659" width="14.6640625" style="40" customWidth="1"/>
    <col min="6660" max="6663" width="11.5" style="40"/>
    <col min="6664" max="6664" width="21.1640625" style="40" customWidth="1"/>
    <col min="6665" max="6665" width="18.5" style="40" bestFit="1" customWidth="1"/>
    <col min="6666" max="6666" width="11.5" style="40"/>
    <col min="6667" max="6667" width="12.5" style="40" bestFit="1" customWidth="1"/>
    <col min="6668" max="6911" width="11.5" style="40"/>
    <col min="6912" max="6912" width="37.5" style="40" customWidth="1"/>
    <col min="6913" max="6913" width="12.6640625" style="40" customWidth="1"/>
    <col min="6914" max="6914" width="13.6640625" style="40" customWidth="1"/>
    <col min="6915" max="6915" width="14.6640625" style="40" customWidth="1"/>
    <col min="6916" max="6919" width="11.5" style="40"/>
    <col min="6920" max="6920" width="21.1640625" style="40" customWidth="1"/>
    <col min="6921" max="6921" width="18.5" style="40" bestFit="1" customWidth="1"/>
    <col min="6922" max="6922" width="11.5" style="40"/>
    <col min="6923" max="6923" width="12.5" style="40" bestFit="1" customWidth="1"/>
    <col min="6924" max="7167" width="11.5" style="40"/>
    <col min="7168" max="7168" width="37.5" style="40" customWidth="1"/>
    <col min="7169" max="7169" width="12.6640625" style="40" customWidth="1"/>
    <col min="7170" max="7170" width="13.6640625" style="40" customWidth="1"/>
    <col min="7171" max="7171" width="14.6640625" style="40" customWidth="1"/>
    <col min="7172" max="7175" width="11.5" style="40"/>
    <col min="7176" max="7176" width="21.1640625" style="40" customWidth="1"/>
    <col min="7177" max="7177" width="18.5" style="40" bestFit="1" customWidth="1"/>
    <col min="7178" max="7178" width="11.5" style="40"/>
    <col min="7179" max="7179" width="12.5" style="40" bestFit="1" customWidth="1"/>
    <col min="7180" max="7423" width="11.5" style="40"/>
    <col min="7424" max="7424" width="37.5" style="40" customWidth="1"/>
    <col min="7425" max="7425" width="12.6640625" style="40" customWidth="1"/>
    <col min="7426" max="7426" width="13.6640625" style="40" customWidth="1"/>
    <col min="7427" max="7427" width="14.6640625" style="40" customWidth="1"/>
    <col min="7428" max="7431" width="11.5" style="40"/>
    <col min="7432" max="7432" width="21.1640625" style="40" customWidth="1"/>
    <col min="7433" max="7433" width="18.5" style="40" bestFit="1" customWidth="1"/>
    <col min="7434" max="7434" width="11.5" style="40"/>
    <col min="7435" max="7435" width="12.5" style="40" bestFit="1" customWidth="1"/>
    <col min="7436" max="7679" width="11.5" style="40"/>
    <col min="7680" max="7680" width="37.5" style="40" customWidth="1"/>
    <col min="7681" max="7681" width="12.6640625" style="40" customWidth="1"/>
    <col min="7682" max="7682" width="13.6640625" style="40" customWidth="1"/>
    <col min="7683" max="7683" width="14.6640625" style="40" customWidth="1"/>
    <col min="7684" max="7687" width="11.5" style="40"/>
    <col min="7688" max="7688" width="21.1640625" style="40" customWidth="1"/>
    <col min="7689" max="7689" width="18.5" style="40" bestFit="1" customWidth="1"/>
    <col min="7690" max="7690" width="11.5" style="40"/>
    <col min="7691" max="7691" width="12.5" style="40" bestFit="1" customWidth="1"/>
    <col min="7692" max="7935" width="11.5" style="40"/>
    <col min="7936" max="7936" width="37.5" style="40" customWidth="1"/>
    <col min="7937" max="7937" width="12.6640625" style="40" customWidth="1"/>
    <col min="7938" max="7938" width="13.6640625" style="40" customWidth="1"/>
    <col min="7939" max="7939" width="14.6640625" style="40" customWidth="1"/>
    <col min="7940" max="7943" width="11.5" style="40"/>
    <col min="7944" max="7944" width="21.1640625" style="40" customWidth="1"/>
    <col min="7945" max="7945" width="18.5" style="40" bestFit="1" customWidth="1"/>
    <col min="7946" max="7946" width="11.5" style="40"/>
    <col min="7947" max="7947" width="12.5" style="40" bestFit="1" customWidth="1"/>
    <col min="7948" max="8191" width="11.5" style="40"/>
    <col min="8192" max="8192" width="37.5" style="40" customWidth="1"/>
    <col min="8193" max="8193" width="12.6640625" style="40" customWidth="1"/>
    <col min="8194" max="8194" width="13.6640625" style="40" customWidth="1"/>
    <col min="8195" max="8195" width="14.6640625" style="40" customWidth="1"/>
    <col min="8196" max="8199" width="11.5" style="40"/>
    <col min="8200" max="8200" width="21.1640625" style="40" customWidth="1"/>
    <col min="8201" max="8201" width="18.5" style="40" bestFit="1" customWidth="1"/>
    <col min="8202" max="8202" width="11.5" style="40"/>
    <col min="8203" max="8203" width="12.5" style="40" bestFit="1" customWidth="1"/>
    <col min="8204" max="8447" width="11.5" style="40"/>
    <col min="8448" max="8448" width="37.5" style="40" customWidth="1"/>
    <col min="8449" max="8449" width="12.6640625" style="40" customWidth="1"/>
    <col min="8450" max="8450" width="13.6640625" style="40" customWidth="1"/>
    <col min="8451" max="8451" width="14.6640625" style="40" customWidth="1"/>
    <col min="8452" max="8455" width="11.5" style="40"/>
    <col min="8456" max="8456" width="21.1640625" style="40" customWidth="1"/>
    <col min="8457" max="8457" width="18.5" style="40" bestFit="1" customWidth="1"/>
    <col min="8458" max="8458" width="11.5" style="40"/>
    <col min="8459" max="8459" width="12.5" style="40" bestFit="1" customWidth="1"/>
    <col min="8460" max="8703" width="11.5" style="40"/>
    <col min="8704" max="8704" width="37.5" style="40" customWidth="1"/>
    <col min="8705" max="8705" width="12.6640625" style="40" customWidth="1"/>
    <col min="8706" max="8706" width="13.6640625" style="40" customWidth="1"/>
    <col min="8707" max="8707" width="14.6640625" style="40" customWidth="1"/>
    <col min="8708" max="8711" width="11.5" style="40"/>
    <col min="8712" max="8712" width="21.1640625" style="40" customWidth="1"/>
    <col min="8713" max="8713" width="18.5" style="40" bestFit="1" customWidth="1"/>
    <col min="8714" max="8714" width="11.5" style="40"/>
    <col min="8715" max="8715" width="12.5" style="40" bestFit="1" customWidth="1"/>
    <col min="8716" max="8959" width="11.5" style="40"/>
    <col min="8960" max="8960" width="37.5" style="40" customWidth="1"/>
    <col min="8961" max="8961" width="12.6640625" style="40" customWidth="1"/>
    <col min="8962" max="8962" width="13.6640625" style="40" customWidth="1"/>
    <col min="8963" max="8963" width="14.6640625" style="40" customWidth="1"/>
    <col min="8964" max="8967" width="11.5" style="40"/>
    <col min="8968" max="8968" width="21.1640625" style="40" customWidth="1"/>
    <col min="8969" max="8969" width="18.5" style="40" bestFit="1" customWidth="1"/>
    <col min="8970" max="8970" width="11.5" style="40"/>
    <col min="8971" max="8971" width="12.5" style="40" bestFit="1" customWidth="1"/>
    <col min="8972" max="9215" width="11.5" style="40"/>
    <col min="9216" max="9216" width="37.5" style="40" customWidth="1"/>
    <col min="9217" max="9217" width="12.6640625" style="40" customWidth="1"/>
    <col min="9218" max="9218" width="13.6640625" style="40" customWidth="1"/>
    <col min="9219" max="9219" width="14.6640625" style="40" customWidth="1"/>
    <col min="9220" max="9223" width="11.5" style="40"/>
    <col min="9224" max="9224" width="21.1640625" style="40" customWidth="1"/>
    <col min="9225" max="9225" width="18.5" style="40" bestFit="1" customWidth="1"/>
    <col min="9226" max="9226" width="11.5" style="40"/>
    <col min="9227" max="9227" width="12.5" style="40" bestFit="1" customWidth="1"/>
    <col min="9228" max="9471" width="11.5" style="40"/>
    <col min="9472" max="9472" width="37.5" style="40" customWidth="1"/>
    <col min="9473" max="9473" width="12.6640625" style="40" customWidth="1"/>
    <col min="9474" max="9474" width="13.6640625" style="40" customWidth="1"/>
    <col min="9475" max="9475" width="14.6640625" style="40" customWidth="1"/>
    <col min="9476" max="9479" width="11.5" style="40"/>
    <col min="9480" max="9480" width="21.1640625" style="40" customWidth="1"/>
    <col min="9481" max="9481" width="18.5" style="40" bestFit="1" customWidth="1"/>
    <col min="9482" max="9482" width="11.5" style="40"/>
    <col min="9483" max="9483" width="12.5" style="40" bestFit="1" customWidth="1"/>
    <col min="9484" max="9727" width="11.5" style="40"/>
    <col min="9728" max="9728" width="37.5" style="40" customWidth="1"/>
    <col min="9729" max="9729" width="12.6640625" style="40" customWidth="1"/>
    <col min="9730" max="9730" width="13.6640625" style="40" customWidth="1"/>
    <col min="9731" max="9731" width="14.6640625" style="40" customWidth="1"/>
    <col min="9732" max="9735" width="11.5" style="40"/>
    <col min="9736" max="9736" width="21.1640625" style="40" customWidth="1"/>
    <col min="9737" max="9737" width="18.5" style="40" bestFit="1" customWidth="1"/>
    <col min="9738" max="9738" width="11.5" style="40"/>
    <col min="9739" max="9739" width="12.5" style="40" bestFit="1" customWidth="1"/>
    <col min="9740" max="9983" width="11.5" style="40"/>
    <col min="9984" max="9984" width="37.5" style="40" customWidth="1"/>
    <col min="9985" max="9985" width="12.6640625" style="40" customWidth="1"/>
    <col min="9986" max="9986" width="13.6640625" style="40" customWidth="1"/>
    <col min="9987" max="9987" width="14.6640625" style="40" customWidth="1"/>
    <col min="9988" max="9991" width="11.5" style="40"/>
    <col min="9992" max="9992" width="21.1640625" style="40" customWidth="1"/>
    <col min="9993" max="9993" width="18.5" style="40" bestFit="1" customWidth="1"/>
    <col min="9994" max="9994" width="11.5" style="40"/>
    <col min="9995" max="9995" width="12.5" style="40" bestFit="1" customWidth="1"/>
    <col min="9996" max="10239" width="11.5" style="40"/>
    <col min="10240" max="10240" width="37.5" style="40" customWidth="1"/>
    <col min="10241" max="10241" width="12.6640625" style="40" customWidth="1"/>
    <col min="10242" max="10242" width="13.6640625" style="40" customWidth="1"/>
    <col min="10243" max="10243" width="14.6640625" style="40" customWidth="1"/>
    <col min="10244" max="10247" width="11.5" style="40"/>
    <col min="10248" max="10248" width="21.1640625" style="40" customWidth="1"/>
    <col min="10249" max="10249" width="18.5" style="40" bestFit="1" customWidth="1"/>
    <col min="10250" max="10250" width="11.5" style="40"/>
    <col min="10251" max="10251" width="12.5" style="40" bestFit="1" customWidth="1"/>
    <col min="10252" max="10495" width="11.5" style="40"/>
    <col min="10496" max="10496" width="37.5" style="40" customWidth="1"/>
    <col min="10497" max="10497" width="12.6640625" style="40" customWidth="1"/>
    <col min="10498" max="10498" width="13.6640625" style="40" customWidth="1"/>
    <col min="10499" max="10499" width="14.6640625" style="40" customWidth="1"/>
    <col min="10500" max="10503" width="11.5" style="40"/>
    <col min="10504" max="10504" width="21.1640625" style="40" customWidth="1"/>
    <col min="10505" max="10505" width="18.5" style="40" bestFit="1" customWidth="1"/>
    <col min="10506" max="10506" width="11.5" style="40"/>
    <col min="10507" max="10507" width="12.5" style="40" bestFit="1" customWidth="1"/>
    <col min="10508" max="10751" width="11.5" style="40"/>
    <col min="10752" max="10752" width="37.5" style="40" customWidth="1"/>
    <col min="10753" max="10753" width="12.6640625" style="40" customWidth="1"/>
    <col min="10754" max="10754" width="13.6640625" style="40" customWidth="1"/>
    <col min="10755" max="10755" width="14.6640625" style="40" customWidth="1"/>
    <col min="10756" max="10759" width="11.5" style="40"/>
    <col min="10760" max="10760" width="21.1640625" style="40" customWidth="1"/>
    <col min="10761" max="10761" width="18.5" style="40" bestFit="1" customWidth="1"/>
    <col min="10762" max="10762" width="11.5" style="40"/>
    <col min="10763" max="10763" width="12.5" style="40" bestFit="1" customWidth="1"/>
    <col min="10764" max="11007" width="11.5" style="40"/>
    <col min="11008" max="11008" width="37.5" style="40" customWidth="1"/>
    <col min="11009" max="11009" width="12.6640625" style="40" customWidth="1"/>
    <col min="11010" max="11010" width="13.6640625" style="40" customWidth="1"/>
    <col min="11011" max="11011" width="14.6640625" style="40" customWidth="1"/>
    <col min="11012" max="11015" width="11.5" style="40"/>
    <col min="11016" max="11016" width="21.1640625" style="40" customWidth="1"/>
    <col min="11017" max="11017" width="18.5" style="40" bestFit="1" customWidth="1"/>
    <col min="11018" max="11018" width="11.5" style="40"/>
    <col min="11019" max="11019" width="12.5" style="40" bestFit="1" customWidth="1"/>
    <col min="11020" max="11263" width="11.5" style="40"/>
    <col min="11264" max="11264" width="37.5" style="40" customWidth="1"/>
    <col min="11265" max="11265" width="12.6640625" style="40" customWidth="1"/>
    <col min="11266" max="11266" width="13.6640625" style="40" customWidth="1"/>
    <col min="11267" max="11267" width="14.6640625" style="40" customWidth="1"/>
    <col min="11268" max="11271" width="11.5" style="40"/>
    <col min="11272" max="11272" width="21.1640625" style="40" customWidth="1"/>
    <col min="11273" max="11273" width="18.5" style="40" bestFit="1" customWidth="1"/>
    <col min="11274" max="11274" width="11.5" style="40"/>
    <col min="11275" max="11275" width="12.5" style="40" bestFit="1" customWidth="1"/>
    <col min="11276" max="11519" width="11.5" style="40"/>
    <col min="11520" max="11520" width="37.5" style="40" customWidth="1"/>
    <col min="11521" max="11521" width="12.6640625" style="40" customWidth="1"/>
    <col min="11522" max="11522" width="13.6640625" style="40" customWidth="1"/>
    <col min="11523" max="11523" width="14.6640625" style="40" customWidth="1"/>
    <col min="11524" max="11527" width="11.5" style="40"/>
    <col min="11528" max="11528" width="21.1640625" style="40" customWidth="1"/>
    <col min="11529" max="11529" width="18.5" style="40" bestFit="1" customWidth="1"/>
    <col min="11530" max="11530" width="11.5" style="40"/>
    <col min="11531" max="11531" width="12.5" style="40" bestFit="1" customWidth="1"/>
    <col min="11532" max="11775" width="11.5" style="40"/>
    <col min="11776" max="11776" width="37.5" style="40" customWidth="1"/>
    <col min="11777" max="11777" width="12.6640625" style="40" customWidth="1"/>
    <col min="11778" max="11778" width="13.6640625" style="40" customWidth="1"/>
    <col min="11779" max="11779" width="14.6640625" style="40" customWidth="1"/>
    <col min="11780" max="11783" width="11.5" style="40"/>
    <col min="11784" max="11784" width="21.1640625" style="40" customWidth="1"/>
    <col min="11785" max="11785" width="18.5" style="40" bestFit="1" customWidth="1"/>
    <col min="11786" max="11786" width="11.5" style="40"/>
    <col min="11787" max="11787" width="12.5" style="40" bestFit="1" customWidth="1"/>
    <col min="11788" max="12031" width="11.5" style="40"/>
    <col min="12032" max="12032" width="37.5" style="40" customWidth="1"/>
    <col min="12033" max="12033" width="12.6640625" style="40" customWidth="1"/>
    <col min="12034" max="12034" width="13.6640625" style="40" customWidth="1"/>
    <col min="12035" max="12035" width="14.6640625" style="40" customWidth="1"/>
    <col min="12036" max="12039" width="11.5" style="40"/>
    <col min="12040" max="12040" width="21.1640625" style="40" customWidth="1"/>
    <col min="12041" max="12041" width="18.5" style="40" bestFit="1" customWidth="1"/>
    <col min="12042" max="12042" width="11.5" style="40"/>
    <col min="12043" max="12043" width="12.5" style="40" bestFit="1" customWidth="1"/>
    <col min="12044" max="12287" width="11.5" style="40"/>
    <col min="12288" max="12288" width="37.5" style="40" customWidth="1"/>
    <col min="12289" max="12289" width="12.6640625" style="40" customWidth="1"/>
    <col min="12290" max="12290" width="13.6640625" style="40" customWidth="1"/>
    <col min="12291" max="12291" width="14.6640625" style="40" customWidth="1"/>
    <col min="12292" max="12295" width="11.5" style="40"/>
    <col min="12296" max="12296" width="21.1640625" style="40" customWidth="1"/>
    <col min="12297" max="12297" width="18.5" style="40" bestFit="1" customWidth="1"/>
    <col min="12298" max="12298" width="11.5" style="40"/>
    <col min="12299" max="12299" width="12.5" style="40" bestFit="1" customWidth="1"/>
    <col min="12300" max="12543" width="11.5" style="40"/>
    <col min="12544" max="12544" width="37.5" style="40" customWidth="1"/>
    <col min="12545" max="12545" width="12.6640625" style="40" customWidth="1"/>
    <col min="12546" max="12546" width="13.6640625" style="40" customWidth="1"/>
    <col min="12547" max="12547" width="14.6640625" style="40" customWidth="1"/>
    <col min="12548" max="12551" width="11.5" style="40"/>
    <col min="12552" max="12552" width="21.1640625" style="40" customWidth="1"/>
    <col min="12553" max="12553" width="18.5" style="40" bestFit="1" customWidth="1"/>
    <col min="12554" max="12554" width="11.5" style="40"/>
    <col min="12555" max="12555" width="12.5" style="40" bestFit="1" customWidth="1"/>
    <col min="12556" max="12799" width="11.5" style="40"/>
    <col min="12800" max="12800" width="37.5" style="40" customWidth="1"/>
    <col min="12801" max="12801" width="12.6640625" style="40" customWidth="1"/>
    <col min="12802" max="12802" width="13.6640625" style="40" customWidth="1"/>
    <col min="12803" max="12803" width="14.6640625" style="40" customWidth="1"/>
    <col min="12804" max="12807" width="11.5" style="40"/>
    <col min="12808" max="12808" width="21.1640625" style="40" customWidth="1"/>
    <col min="12809" max="12809" width="18.5" style="40" bestFit="1" customWidth="1"/>
    <col min="12810" max="12810" width="11.5" style="40"/>
    <col min="12811" max="12811" width="12.5" style="40" bestFit="1" customWidth="1"/>
    <col min="12812" max="13055" width="11.5" style="40"/>
    <col min="13056" max="13056" width="37.5" style="40" customWidth="1"/>
    <col min="13057" max="13057" width="12.6640625" style="40" customWidth="1"/>
    <col min="13058" max="13058" width="13.6640625" style="40" customWidth="1"/>
    <col min="13059" max="13059" width="14.6640625" style="40" customWidth="1"/>
    <col min="13060" max="13063" width="11.5" style="40"/>
    <col min="13064" max="13064" width="21.1640625" style="40" customWidth="1"/>
    <col min="13065" max="13065" width="18.5" style="40" bestFit="1" customWidth="1"/>
    <col min="13066" max="13066" width="11.5" style="40"/>
    <col min="13067" max="13067" width="12.5" style="40" bestFit="1" customWidth="1"/>
    <col min="13068" max="13311" width="11.5" style="40"/>
    <col min="13312" max="13312" width="37.5" style="40" customWidth="1"/>
    <col min="13313" max="13313" width="12.6640625" style="40" customWidth="1"/>
    <col min="13314" max="13314" width="13.6640625" style="40" customWidth="1"/>
    <col min="13315" max="13315" width="14.6640625" style="40" customWidth="1"/>
    <col min="13316" max="13319" width="11.5" style="40"/>
    <col min="13320" max="13320" width="21.1640625" style="40" customWidth="1"/>
    <col min="13321" max="13321" width="18.5" style="40" bestFit="1" customWidth="1"/>
    <col min="13322" max="13322" width="11.5" style="40"/>
    <col min="13323" max="13323" width="12.5" style="40" bestFit="1" customWidth="1"/>
    <col min="13324" max="13567" width="11.5" style="40"/>
    <col min="13568" max="13568" width="37.5" style="40" customWidth="1"/>
    <col min="13569" max="13569" width="12.6640625" style="40" customWidth="1"/>
    <col min="13570" max="13570" width="13.6640625" style="40" customWidth="1"/>
    <col min="13571" max="13571" width="14.6640625" style="40" customWidth="1"/>
    <col min="13572" max="13575" width="11.5" style="40"/>
    <col min="13576" max="13576" width="21.1640625" style="40" customWidth="1"/>
    <col min="13577" max="13577" width="18.5" style="40" bestFit="1" customWidth="1"/>
    <col min="13578" max="13578" width="11.5" style="40"/>
    <col min="13579" max="13579" width="12.5" style="40" bestFit="1" customWidth="1"/>
    <col min="13580" max="13823" width="11.5" style="40"/>
    <col min="13824" max="13824" width="37.5" style="40" customWidth="1"/>
    <col min="13825" max="13825" width="12.6640625" style="40" customWidth="1"/>
    <col min="13826" max="13826" width="13.6640625" style="40" customWidth="1"/>
    <col min="13827" max="13827" width="14.6640625" style="40" customWidth="1"/>
    <col min="13828" max="13831" width="11.5" style="40"/>
    <col min="13832" max="13832" width="21.1640625" style="40" customWidth="1"/>
    <col min="13833" max="13833" width="18.5" style="40" bestFit="1" customWidth="1"/>
    <col min="13834" max="13834" width="11.5" style="40"/>
    <col min="13835" max="13835" width="12.5" style="40" bestFit="1" customWidth="1"/>
    <col min="13836" max="14079" width="11.5" style="40"/>
    <col min="14080" max="14080" width="37.5" style="40" customWidth="1"/>
    <col min="14081" max="14081" width="12.6640625" style="40" customWidth="1"/>
    <col min="14082" max="14082" width="13.6640625" style="40" customWidth="1"/>
    <col min="14083" max="14083" width="14.6640625" style="40" customWidth="1"/>
    <col min="14084" max="14087" width="11.5" style="40"/>
    <col min="14088" max="14088" width="21.1640625" style="40" customWidth="1"/>
    <col min="14089" max="14089" width="18.5" style="40" bestFit="1" customWidth="1"/>
    <col min="14090" max="14090" width="11.5" style="40"/>
    <col min="14091" max="14091" width="12.5" style="40" bestFit="1" customWidth="1"/>
    <col min="14092" max="14335" width="11.5" style="40"/>
    <col min="14336" max="14336" width="37.5" style="40" customWidth="1"/>
    <col min="14337" max="14337" width="12.6640625" style="40" customWidth="1"/>
    <col min="14338" max="14338" width="13.6640625" style="40" customWidth="1"/>
    <col min="14339" max="14339" width="14.6640625" style="40" customWidth="1"/>
    <col min="14340" max="14343" width="11.5" style="40"/>
    <col min="14344" max="14344" width="21.1640625" style="40" customWidth="1"/>
    <col min="14345" max="14345" width="18.5" style="40" bestFit="1" customWidth="1"/>
    <col min="14346" max="14346" width="11.5" style="40"/>
    <col min="14347" max="14347" width="12.5" style="40" bestFit="1" customWidth="1"/>
    <col min="14348" max="14591" width="11.5" style="40"/>
    <col min="14592" max="14592" width="37.5" style="40" customWidth="1"/>
    <col min="14593" max="14593" width="12.6640625" style="40" customWidth="1"/>
    <col min="14594" max="14594" width="13.6640625" style="40" customWidth="1"/>
    <col min="14595" max="14595" width="14.6640625" style="40" customWidth="1"/>
    <col min="14596" max="14599" width="11.5" style="40"/>
    <col min="14600" max="14600" width="21.1640625" style="40" customWidth="1"/>
    <col min="14601" max="14601" width="18.5" style="40" bestFit="1" customWidth="1"/>
    <col min="14602" max="14602" width="11.5" style="40"/>
    <col min="14603" max="14603" width="12.5" style="40" bestFit="1" customWidth="1"/>
    <col min="14604" max="14847" width="11.5" style="40"/>
    <col min="14848" max="14848" width="37.5" style="40" customWidth="1"/>
    <col min="14849" max="14849" width="12.6640625" style="40" customWidth="1"/>
    <col min="14850" max="14850" width="13.6640625" style="40" customWidth="1"/>
    <col min="14851" max="14851" width="14.6640625" style="40" customWidth="1"/>
    <col min="14852" max="14855" width="11.5" style="40"/>
    <col min="14856" max="14856" width="21.1640625" style="40" customWidth="1"/>
    <col min="14857" max="14857" width="18.5" style="40" bestFit="1" customWidth="1"/>
    <col min="14858" max="14858" width="11.5" style="40"/>
    <col min="14859" max="14859" width="12.5" style="40" bestFit="1" customWidth="1"/>
    <col min="14860" max="15103" width="11.5" style="40"/>
    <col min="15104" max="15104" width="37.5" style="40" customWidth="1"/>
    <col min="15105" max="15105" width="12.6640625" style="40" customWidth="1"/>
    <col min="15106" max="15106" width="13.6640625" style="40" customWidth="1"/>
    <col min="15107" max="15107" width="14.6640625" style="40" customWidth="1"/>
    <col min="15108" max="15111" width="11.5" style="40"/>
    <col min="15112" max="15112" width="21.1640625" style="40" customWidth="1"/>
    <col min="15113" max="15113" width="18.5" style="40" bestFit="1" customWidth="1"/>
    <col min="15114" max="15114" width="11.5" style="40"/>
    <col min="15115" max="15115" width="12.5" style="40" bestFit="1" customWidth="1"/>
    <col min="15116" max="15359" width="11.5" style="40"/>
    <col min="15360" max="15360" width="37.5" style="40" customWidth="1"/>
    <col min="15361" max="15361" width="12.6640625" style="40" customWidth="1"/>
    <col min="15362" max="15362" width="13.6640625" style="40" customWidth="1"/>
    <col min="15363" max="15363" width="14.6640625" style="40" customWidth="1"/>
    <col min="15364" max="15367" width="11.5" style="40"/>
    <col min="15368" max="15368" width="21.1640625" style="40" customWidth="1"/>
    <col min="15369" max="15369" width="18.5" style="40" bestFit="1" customWidth="1"/>
    <col min="15370" max="15370" width="11.5" style="40"/>
    <col min="15371" max="15371" width="12.5" style="40" bestFit="1" customWidth="1"/>
    <col min="15372" max="15615" width="11.5" style="40"/>
    <col min="15616" max="15616" width="37.5" style="40" customWidth="1"/>
    <col min="15617" max="15617" width="12.6640625" style="40" customWidth="1"/>
    <col min="15618" max="15618" width="13.6640625" style="40" customWidth="1"/>
    <col min="15619" max="15619" width="14.6640625" style="40" customWidth="1"/>
    <col min="15620" max="15623" width="11.5" style="40"/>
    <col min="15624" max="15624" width="21.1640625" style="40" customWidth="1"/>
    <col min="15625" max="15625" width="18.5" style="40" bestFit="1" customWidth="1"/>
    <col min="15626" max="15626" width="11.5" style="40"/>
    <col min="15627" max="15627" width="12.5" style="40" bestFit="1" customWidth="1"/>
    <col min="15628" max="15871" width="11.5" style="40"/>
    <col min="15872" max="15872" width="37.5" style="40" customWidth="1"/>
    <col min="15873" max="15873" width="12.6640625" style="40" customWidth="1"/>
    <col min="15874" max="15874" width="13.6640625" style="40" customWidth="1"/>
    <col min="15875" max="15875" width="14.6640625" style="40" customWidth="1"/>
    <col min="15876" max="15879" width="11.5" style="40"/>
    <col min="15880" max="15880" width="21.1640625" style="40" customWidth="1"/>
    <col min="15881" max="15881" width="18.5" style="40" bestFit="1" customWidth="1"/>
    <col min="15882" max="15882" width="11.5" style="40"/>
    <col min="15883" max="15883" width="12.5" style="40" bestFit="1" customWidth="1"/>
    <col min="15884" max="16127" width="11.5" style="40"/>
    <col min="16128" max="16128" width="37.5" style="40" customWidth="1"/>
    <col min="16129" max="16129" width="12.6640625" style="40" customWidth="1"/>
    <col min="16130" max="16130" width="13.6640625" style="40" customWidth="1"/>
    <col min="16131" max="16131" width="14.6640625" style="40" customWidth="1"/>
    <col min="16132" max="16135" width="11.5" style="40"/>
    <col min="16136" max="16136" width="21.1640625" style="40" customWidth="1"/>
    <col min="16137" max="16137" width="18.5" style="40" bestFit="1" customWidth="1"/>
    <col min="16138" max="16138" width="11.5" style="40"/>
    <col min="16139" max="16139" width="12.5" style="40" bestFit="1" customWidth="1"/>
    <col min="16140" max="16384" width="11.5" style="40"/>
  </cols>
  <sheetData>
    <row r="1" spans="1:10" ht="16">
      <c r="A1" s="219" t="s">
        <v>22</v>
      </c>
      <c r="B1" s="220"/>
      <c r="C1" s="220"/>
      <c r="D1" s="221"/>
      <c r="F1" s="30"/>
      <c r="G1" s="30"/>
      <c r="H1" s="30"/>
      <c r="I1" s="187"/>
      <c r="J1" s="30"/>
    </row>
    <row r="2" spans="1:10" ht="16">
      <c r="A2" s="26"/>
      <c r="B2" s="27"/>
      <c r="C2" s="27"/>
      <c r="D2" s="28"/>
      <c r="F2" s="30"/>
      <c r="G2" s="30"/>
      <c r="H2" s="30"/>
      <c r="I2" s="187"/>
      <c r="J2" s="30"/>
    </row>
    <row r="3" spans="1:10" ht="16">
      <c r="A3" s="29" t="s">
        <v>23</v>
      </c>
      <c r="B3" s="30"/>
      <c r="C3" s="30"/>
      <c r="D3" s="31"/>
      <c r="F3" s="30"/>
      <c r="G3" s="30"/>
      <c r="H3" s="30"/>
      <c r="I3" s="187"/>
      <c r="J3" s="30"/>
    </row>
    <row r="4" spans="1:10" ht="16">
      <c r="A4" s="32"/>
      <c r="B4" s="30"/>
      <c r="C4" s="188" t="s">
        <v>24</v>
      </c>
      <c r="D4" s="189" t="s">
        <v>48</v>
      </c>
      <c r="E4" s="30"/>
      <c r="F4" s="30"/>
      <c r="G4" s="30"/>
      <c r="H4" s="30"/>
      <c r="I4" s="187"/>
      <c r="J4" s="30"/>
    </row>
    <row r="5" spans="1:10" ht="16">
      <c r="A5" s="32" t="s">
        <v>25</v>
      </c>
      <c r="B5" s="30"/>
      <c r="C5" s="190">
        <v>1750905</v>
      </c>
      <c r="D5" s="191">
        <f>+C5/30*360</f>
        <v>21010860</v>
      </c>
      <c r="E5" s="30"/>
      <c r="F5" s="30"/>
      <c r="G5" s="30"/>
      <c r="H5" s="30"/>
      <c r="I5" s="187"/>
      <c r="J5" s="30"/>
    </row>
    <row r="6" spans="1:10" ht="16">
      <c r="A6" s="32" t="s">
        <v>26</v>
      </c>
      <c r="B6" s="30"/>
      <c r="C6" s="190">
        <v>249095</v>
      </c>
      <c r="D6" s="191">
        <f>+C6*12</f>
        <v>2989140</v>
      </c>
      <c r="E6" s="30"/>
      <c r="F6" s="30"/>
      <c r="G6" s="30"/>
      <c r="H6" s="30"/>
      <c r="I6" s="187"/>
      <c r="J6" s="30"/>
    </row>
    <row r="7" spans="1:10" ht="16">
      <c r="A7" s="32" t="s">
        <v>27</v>
      </c>
      <c r="B7" s="30"/>
      <c r="C7" s="190">
        <f>SUM(C5:C6)</f>
        <v>2000000</v>
      </c>
      <c r="D7" s="191">
        <f>+D5+D6</f>
        <v>24000000</v>
      </c>
      <c r="E7" s="30"/>
      <c r="F7" s="30"/>
      <c r="G7" s="30"/>
      <c r="H7" s="30"/>
      <c r="I7" s="187"/>
      <c r="J7" s="30"/>
    </row>
    <row r="8" spans="1:10" ht="16">
      <c r="A8" s="32"/>
      <c r="B8" s="30"/>
      <c r="C8" s="33"/>
      <c r="D8" s="34"/>
      <c r="E8" s="30"/>
      <c r="F8" s="30"/>
      <c r="G8" s="30"/>
      <c r="H8" s="30"/>
      <c r="I8" s="187"/>
      <c r="J8" s="30"/>
    </row>
    <row r="9" spans="1:10" ht="16">
      <c r="A9" s="29" t="s">
        <v>28</v>
      </c>
      <c r="B9" s="192">
        <f>'[1]Factor Presta'!D24-1</f>
        <v>0.88290000000000002</v>
      </c>
      <c r="C9" s="35">
        <f>+B9*C5</f>
        <v>1545874.0245000001</v>
      </c>
      <c r="D9" s="34">
        <f>+B9*D5</f>
        <v>18550488.294</v>
      </c>
      <c r="E9" s="30"/>
      <c r="F9" s="30"/>
      <c r="G9" s="30"/>
      <c r="H9" s="30"/>
      <c r="I9" s="187"/>
      <c r="J9" s="30"/>
    </row>
    <row r="10" spans="1:10" ht="16">
      <c r="A10" s="32"/>
      <c r="B10" s="30"/>
      <c r="C10" s="33"/>
      <c r="D10" s="34"/>
      <c r="E10" s="30"/>
      <c r="F10" s="30"/>
      <c r="G10" s="30"/>
      <c r="H10" s="193"/>
      <c r="I10" s="187"/>
      <c r="J10" s="30"/>
    </row>
    <row r="11" spans="1:10" ht="16">
      <c r="A11" s="29" t="s">
        <v>29</v>
      </c>
      <c r="B11" s="36"/>
      <c r="C11" s="37">
        <f>+C7+C9</f>
        <v>3545874.0245000003</v>
      </c>
      <c r="D11" s="38">
        <f>+D7+D9</f>
        <v>42550488.294</v>
      </c>
      <c r="E11" s="30"/>
      <c r="F11" s="30"/>
      <c r="G11" s="30"/>
      <c r="H11" s="193"/>
      <c r="I11" s="187"/>
      <c r="J11" s="30"/>
    </row>
    <row r="12" spans="1:10" ht="16">
      <c r="A12" s="39"/>
      <c r="D12" s="41"/>
      <c r="E12" s="30"/>
      <c r="F12" s="30"/>
      <c r="G12" s="30"/>
      <c r="H12" s="30"/>
      <c r="I12" s="187"/>
      <c r="J12" s="30"/>
    </row>
    <row r="13" spans="1:10" ht="16">
      <c r="A13" s="29" t="s">
        <v>30</v>
      </c>
      <c r="D13" s="41"/>
      <c r="E13" s="30"/>
      <c r="F13" s="30"/>
      <c r="G13" s="30"/>
      <c r="H13" s="30"/>
      <c r="I13" s="187"/>
      <c r="J13" s="30"/>
    </row>
    <row r="14" spans="1:10" ht="16">
      <c r="A14" s="222" t="s">
        <v>31</v>
      </c>
      <c r="B14" s="223"/>
      <c r="C14" s="223"/>
      <c r="D14" s="224"/>
      <c r="E14" s="30"/>
      <c r="F14" s="30"/>
      <c r="G14" s="30"/>
      <c r="H14" s="30"/>
      <c r="I14" s="187"/>
      <c r="J14" s="30"/>
    </row>
    <row r="15" spans="1:10" ht="16">
      <c r="A15" s="222" t="s">
        <v>32</v>
      </c>
      <c r="B15" s="223"/>
      <c r="C15" s="223"/>
      <c r="D15" s="224"/>
      <c r="E15" s="30"/>
      <c r="F15" s="30"/>
      <c r="G15" s="30"/>
      <c r="H15" s="30"/>
      <c r="I15" s="187"/>
      <c r="J15" s="30"/>
    </row>
    <row r="16" spans="1:10">
      <c r="A16" s="39"/>
      <c r="D16" s="41"/>
    </row>
    <row r="17" spans="1:6" ht="16">
      <c r="A17" s="29" t="s">
        <v>127</v>
      </c>
      <c r="D17" s="41"/>
      <c r="F17" s="194"/>
    </row>
    <row r="18" spans="1:6">
      <c r="A18" s="39"/>
      <c r="D18" s="41"/>
    </row>
    <row r="19" spans="1:6" ht="16">
      <c r="A19" s="195" t="s">
        <v>33</v>
      </c>
      <c r="B19" s="196"/>
      <c r="C19" s="196"/>
      <c r="D19" s="197"/>
    </row>
    <row r="20" spans="1:6" ht="16">
      <c r="A20" s="198" t="s">
        <v>34</v>
      </c>
      <c r="B20" s="199"/>
      <c r="C20" s="188" t="s">
        <v>35</v>
      </c>
      <c r="D20" s="200">
        <f>(+$C$5*12/360)*1.3</f>
        <v>75872.55</v>
      </c>
    </row>
    <row r="21" spans="1:6" ht="16">
      <c r="A21" s="201" t="s">
        <v>36</v>
      </c>
      <c r="B21" s="196"/>
      <c r="C21" s="202">
        <f>+$B$9</f>
        <v>0.88290000000000002</v>
      </c>
      <c r="D21" s="191">
        <f>+D20*C21</f>
        <v>66987.874395000006</v>
      </c>
    </row>
    <row r="22" spans="1:6" ht="16">
      <c r="A22" s="201" t="s">
        <v>37</v>
      </c>
      <c r="B22" s="196"/>
      <c r="C22" s="202"/>
      <c r="D22" s="191">
        <f>+D20+D21</f>
        <v>142860.42439500001</v>
      </c>
    </row>
    <row r="23" spans="1:6" ht="16">
      <c r="A23" s="201" t="s">
        <v>38</v>
      </c>
      <c r="B23" s="196"/>
      <c r="C23" s="203"/>
      <c r="D23" s="191">
        <f>+D22/8</f>
        <v>17857.553049375001</v>
      </c>
    </row>
    <row r="24" spans="1:6" ht="16">
      <c r="A24" s="201" t="s">
        <v>39</v>
      </c>
      <c r="B24" s="196"/>
      <c r="C24" s="204">
        <f>+$C$6/30</f>
        <v>8303.1666666666661</v>
      </c>
      <c r="D24" s="191">
        <f>+C24/8</f>
        <v>1037.8958333333333</v>
      </c>
    </row>
    <row r="25" spans="1:6" ht="16">
      <c r="A25" s="201" t="s">
        <v>40</v>
      </c>
      <c r="B25" s="196"/>
      <c r="C25" s="203"/>
      <c r="D25" s="191">
        <f>+D23+D24</f>
        <v>18895.448882708333</v>
      </c>
    </row>
    <row r="26" spans="1:6" ht="16">
      <c r="A26" s="201"/>
      <c r="B26" s="196"/>
      <c r="C26" s="203"/>
      <c r="D26" s="191"/>
    </row>
    <row r="27" spans="1:6" ht="16">
      <c r="A27" s="198" t="s">
        <v>41</v>
      </c>
      <c r="B27" s="199"/>
      <c r="C27" s="188" t="s">
        <v>42</v>
      </c>
      <c r="D27" s="200">
        <f>(+$C$5*12/360)*2.2</f>
        <v>128399.70000000001</v>
      </c>
    </row>
    <row r="28" spans="1:6" ht="16">
      <c r="A28" s="201" t="s">
        <v>36</v>
      </c>
      <c r="B28" s="196"/>
      <c r="C28" s="202">
        <f>+$B$9</f>
        <v>0.88290000000000002</v>
      </c>
      <c r="D28" s="191">
        <f>+D27*C28</f>
        <v>113364.09513000002</v>
      </c>
    </row>
    <row r="29" spans="1:6" ht="16">
      <c r="A29" s="201" t="s">
        <v>43</v>
      </c>
      <c r="B29" s="196"/>
      <c r="C29" s="202"/>
      <c r="D29" s="191">
        <f>+D27+D28</f>
        <v>241763.79513000004</v>
      </c>
    </row>
    <row r="30" spans="1:6" ht="16">
      <c r="A30" s="201" t="s">
        <v>44</v>
      </c>
      <c r="B30" s="196"/>
      <c r="C30" s="203"/>
      <c r="D30" s="191">
        <f>+D29/8</f>
        <v>30220.474391250005</v>
      </c>
    </row>
    <row r="31" spans="1:6" ht="16">
      <c r="A31" s="201" t="s">
        <v>39</v>
      </c>
      <c r="B31" s="196"/>
      <c r="C31" s="204">
        <v>0</v>
      </c>
      <c r="D31" s="191">
        <f>+C31/8</f>
        <v>0</v>
      </c>
    </row>
    <row r="32" spans="1:6" ht="16">
      <c r="A32" s="201" t="s">
        <v>45</v>
      </c>
      <c r="B32" s="196"/>
      <c r="C32" s="203"/>
      <c r="D32" s="191">
        <f>+D30+D31</f>
        <v>30220.474391250005</v>
      </c>
    </row>
    <row r="33" spans="1:5" ht="16">
      <c r="A33" s="201"/>
      <c r="B33" s="196"/>
      <c r="C33" s="203"/>
      <c r="D33" s="191"/>
    </row>
    <row r="34" spans="1:5" ht="16">
      <c r="A34" s="198" t="s">
        <v>46</v>
      </c>
      <c r="B34" s="199"/>
      <c r="C34" s="205">
        <f>+D22+C24+D29</f>
        <v>392927.38619166671</v>
      </c>
      <c r="D34" s="200">
        <f>ROUND(C34,2)</f>
        <v>392927.39</v>
      </c>
    </row>
    <row r="35" spans="1:5" ht="16">
      <c r="A35" s="198" t="s">
        <v>47</v>
      </c>
      <c r="B35" s="199"/>
      <c r="C35" s="205">
        <f>+D25+D32</f>
        <v>49115.923273958339</v>
      </c>
      <c r="D35" s="200">
        <f>ROUND(C35,2)</f>
        <v>49115.92</v>
      </c>
      <c r="E35" s="206"/>
    </row>
    <row r="36" spans="1:5" ht="17" thickBot="1">
      <c r="A36" s="42"/>
      <c r="B36" s="43"/>
      <c r="C36" s="44"/>
      <c r="D36" s="45"/>
    </row>
  </sheetData>
  <mergeCells count="3">
    <mergeCell ref="A1:D1"/>
    <mergeCell ref="A14:D14"/>
    <mergeCell ref="A15:D15"/>
  </mergeCell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18D18-3393-A241-9386-48F697EC5828}">
  <dimension ref="A1:E56"/>
  <sheetViews>
    <sheetView workbookViewId="0">
      <selection activeCell="O39" sqref="O39"/>
    </sheetView>
  </sheetViews>
  <sheetFormatPr baseColWidth="10" defaultColWidth="11.5" defaultRowHeight="13"/>
  <cols>
    <col min="1" max="1" width="53.33203125" style="161" customWidth="1"/>
    <col min="2" max="2" width="9.33203125" style="186" customWidth="1"/>
    <col min="3" max="3" width="8.1640625" style="169" customWidth="1"/>
    <col min="4" max="4" width="15.6640625" style="169" customWidth="1"/>
    <col min="5" max="5" width="13.6640625" style="169" customWidth="1"/>
    <col min="6" max="224" width="11.5" style="161"/>
    <col min="225" max="225" width="59.83203125" style="161" customWidth="1"/>
    <col min="226" max="226" width="5.33203125" style="161" customWidth="1"/>
    <col min="227" max="228" width="11.5" style="161"/>
    <col min="229" max="229" width="16.1640625" style="161" bestFit="1" customWidth="1"/>
    <col min="230" max="230" width="12.83203125" style="161" bestFit="1" customWidth="1"/>
    <col min="231" max="231" width="17.33203125" style="161" customWidth="1"/>
    <col min="232" max="232" width="10.5" style="161" bestFit="1" customWidth="1"/>
    <col min="233" max="233" width="11.5" style="161"/>
    <col min="234" max="234" width="11.5" style="161" bestFit="1"/>
    <col min="235" max="235" width="12.1640625" style="161" bestFit="1" customWidth="1"/>
    <col min="236" max="236" width="11.5" style="161" bestFit="1"/>
    <col min="237" max="237" width="13.1640625" style="161" bestFit="1" customWidth="1"/>
    <col min="238" max="480" width="11.5" style="161"/>
    <col min="481" max="481" width="59.83203125" style="161" customWidth="1"/>
    <col min="482" max="482" width="5.33203125" style="161" customWidth="1"/>
    <col min="483" max="484" width="11.5" style="161"/>
    <col min="485" max="485" width="16.1640625" style="161" bestFit="1" customWidth="1"/>
    <col min="486" max="486" width="12.83203125" style="161" bestFit="1" customWidth="1"/>
    <col min="487" max="487" width="17.33203125" style="161" customWidth="1"/>
    <col min="488" max="488" width="10.5" style="161" bestFit="1" customWidth="1"/>
    <col min="489" max="489" width="11.5" style="161"/>
    <col min="490" max="490" width="11.5" style="161" bestFit="1"/>
    <col min="491" max="491" width="12.1640625" style="161" bestFit="1" customWidth="1"/>
    <col min="492" max="492" width="11.5" style="161" bestFit="1"/>
    <col min="493" max="493" width="13.1640625" style="161" bestFit="1" customWidth="1"/>
    <col min="494" max="736" width="11.5" style="161"/>
    <col min="737" max="737" width="59.83203125" style="161" customWidth="1"/>
    <col min="738" max="738" width="5.33203125" style="161" customWidth="1"/>
    <col min="739" max="740" width="11.5" style="161"/>
    <col min="741" max="741" width="16.1640625" style="161" bestFit="1" customWidth="1"/>
    <col min="742" max="742" width="12.83203125" style="161" bestFit="1" customWidth="1"/>
    <col min="743" max="743" width="17.33203125" style="161" customWidth="1"/>
    <col min="744" max="744" width="10.5" style="161" bestFit="1" customWidth="1"/>
    <col min="745" max="745" width="11.5" style="161"/>
    <col min="746" max="746" width="11.5" style="161" bestFit="1"/>
    <col min="747" max="747" width="12.1640625" style="161" bestFit="1" customWidth="1"/>
    <col min="748" max="748" width="11.5" style="161" bestFit="1"/>
    <col min="749" max="749" width="13.1640625" style="161" bestFit="1" customWidth="1"/>
    <col min="750" max="992" width="11.5" style="161"/>
    <col min="993" max="993" width="59.83203125" style="161" customWidth="1"/>
    <col min="994" max="994" width="5.33203125" style="161" customWidth="1"/>
    <col min="995" max="996" width="11.5" style="161"/>
    <col min="997" max="997" width="16.1640625" style="161" bestFit="1" customWidth="1"/>
    <col min="998" max="998" width="12.83203125" style="161" bestFit="1" customWidth="1"/>
    <col min="999" max="999" width="17.33203125" style="161" customWidth="1"/>
    <col min="1000" max="1000" width="10.5" style="161" bestFit="1" customWidth="1"/>
    <col min="1001" max="1001" width="11.5" style="161"/>
    <col min="1002" max="1002" width="11.5" style="161" bestFit="1"/>
    <col min="1003" max="1003" width="12.1640625" style="161" bestFit="1" customWidth="1"/>
    <col min="1004" max="1004" width="11.5" style="161" bestFit="1"/>
    <col min="1005" max="1005" width="13.1640625" style="161" bestFit="1" customWidth="1"/>
    <col min="1006" max="1248" width="11.5" style="161"/>
    <col min="1249" max="1249" width="59.83203125" style="161" customWidth="1"/>
    <col min="1250" max="1250" width="5.33203125" style="161" customWidth="1"/>
    <col min="1251" max="1252" width="11.5" style="161"/>
    <col min="1253" max="1253" width="16.1640625" style="161" bestFit="1" customWidth="1"/>
    <col min="1254" max="1254" width="12.83203125" style="161" bestFit="1" customWidth="1"/>
    <col min="1255" max="1255" width="17.33203125" style="161" customWidth="1"/>
    <col min="1256" max="1256" width="10.5" style="161" bestFit="1" customWidth="1"/>
    <col min="1257" max="1257" width="11.5" style="161"/>
    <col min="1258" max="1258" width="11.5" style="161" bestFit="1"/>
    <col min="1259" max="1259" width="12.1640625" style="161" bestFit="1" customWidth="1"/>
    <col min="1260" max="1260" width="11.5" style="161" bestFit="1"/>
    <col min="1261" max="1261" width="13.1640625" style="161" bestFit="1" customWidth="1"/>
    <col min="1262" max="1504" width="11.5" style="161"/>
    <col min="1505" max="1505" width="59.83203125" style="161" customWidth="1"/>
    <col min="1506" max="1506" width="5.33203125" style="161" customWidth="1"/>
    <col min="1507" max="1508" width="11.5" style="161"/>
    <col min="1509" max="1509" width="16.1640625" style="161" bestFit="1" customWidth="1"/>
    <col min="1510" max="1510" width="12.83203125" style="161" bestFit="1" customWidth="1"/>
    <col min="1511" max="1511" width="17.33203125" style="161" customWidth="1"/>
    <col min="1512" max="1512" width="10.5" style="161" bestFit="1" customWidth="1"/>
    <col min="1513" max="1513" width="11.5" style="161"/>
    <col min="1514" max="1514" width="11.5" style="161" bestFit="1"/>
    <col min="1515" max="1515" width="12.1640625" style="161" bestFit="1" customWidth="1"/>
    <col min="1516" max="1516" width="11.5" style="161" bestFit="1"/>
    <col min="1517" max="1517" width="13.1640625" style="161" bestFit="1" customWidth="1"/>
    <col min="1518" max="1760" width="11.5" style="161"/>
    <col min="1761" max="1761" width="59.83203125" style="161" customWidth="1"/>
    <col min="1762" max="1762" width="5.33203125" style="161" customWidth="1"/>
    <col min="1763" max="1764" width="11.5" style="161"/>
    <col min="1765" max="1765" width="16.1640625" style="161" bestFit="1" customWidth="1"/>
    <col min="1766" max="1766" width="12.83203125" style="161" bestFit="1" customWidth="1"/>
    <col min="1767" max="1767" width="17.33203125" style="161" customWidth="1"/>
    <col min="1768" max="1768" width="10.5" style="161" bestFit="1" customWidth="1"/>
    <col min="1769" max="1769" width="11.5" style="161"/>
    <col min="1770" max="1770" width="11.5" style="161" bestFit="1"/>
    <col min="1771" max="1771" width="12.1640625" style="161" bestFit="1" customWidth="1"/>
    <col min="1772" max="1772" width="11.5" style="161" bestFit="1"/>
    <col min="1773" max="1773" width="13.1640625" style="161" bestFit="1" customWidth="1"/>
    <col min="1774" max="2016" width="11.5" style="161"/>
    <col min="2017" max="2017" width="59.83203125" style="161" customWidth="1"/>
    <col min="2018" max="2018" width="5.33203125" style="161" customWidth="1"/>
    <col min="2019" max="2020" width="11.5" style="161"/>
    <col min="2021" max="2021" width="16.1640625" style="161" bestFit="1" customWidth="1"/>
    <col min="2022" max="2022" width="12.83203125" style="161" bestFit="1" customWidth="1"/>
    <col min="2023" max="2023" width="17.33203125" style="161" customWidth="1"/>
    <col min="2024" max="2024" width="10.5" style="161" bestFit="1" customWidth="1"/>
    <col min="2025" max="2025" width="11.5" style="161"/>
    <col min="2026" max="2026" width="11.5" style="161" bestFit="1"/>
    <col min="2027" max="2027" width="12.1640625" style="161" bestFit="1" customWidth="1"/>
    <col min="2028" max="2028" width="11.5" style="161" bestFit="1"/>
    <col min="2029" max="2029" width="13.1640625" style="161" bestFit="1" customWidth="1"/>
    <col min="2030" max="2272" width="11.5" style="161"/>
    <col min="2273" max="2273" width="59.83203125" style="161" customWidth="1"/>
    <col min="2274" max="2274" width="5.33203125" style="161" customWidth="1"/>
    <col min="2275" max="2276" width="11.5" style="161"/>
    <col min="2277" max="2277" width="16.1640625" style="161" bestFit="1" customWidth="1"/>
    <col min="2278" max="2278" width="12.83203125" style="161" bestFit="1" customWidth="1"/>
    <col min="2279" max="2279" width="17.33203125" style="161" customWidth="1"/>
    <col min="2280" max="2280" width="10.5" style="161" bestFit="1" customWidth="1"/>
    <col min="2281" max="2281" width="11.5" style="161"/>
    <col min="2282" max="2282" width="11.5" style="161" bestFit="1"/>
    <col min="2283" max="2283" width="12.1640625" style="161" bestFit="1" customWidth="1"/>
    <col min="2284" max="2284" width="11.5" style="161" bestFit="1"/>
    <col min="2285" max="2285" width="13.1640625" style="161" bestFit="1" customWidth="1"/>
    <col min="2286" max="2528" width="11.5" style="161"/>
    <col min="2529" max="2529" width="59.83203125" style="161" customWidth="1"/>
    <col min="2530" max="2530" width="5.33203125" style="161" customWidth="1"/>
    <col min="2531" max="2532" width="11.5" style="161"/>
    <col min="2533" max="2533" width="16.1640625" style="161" bestFit="1" customWidth="1"/>
    <col min="2534" max="2534" width="12.83203125" style="161" bestFit="1" customWidth="1"/>
    <col min="2535" max="2535" width="17.33203125" style="161" customWidth="1"/>
    <col min="2536" max="2536" width="10.5" style="161" bestFit="1" customWidth="1"/>
    <col min="2537" max="2537" width="11.5" style="161"/>
    <col min="2538" max="2538" width="11.5" style="161" bestFit="1"/>
    <col min="2539" max="2539" width="12.1640625" style="161" bestFit="1" customWidth="1"/>
    <col min="2540" max="2540" width="11.5" style="161" bestFit="1"/>
    <col min="2541" max="2541" width="13.1640625" style="161" bestFit="1" customWidth="1"/>
    <col min="2542" max="2784" width="11.5" style="161"/>
    <col min="2785" max="2785" width="59.83203125" style="161" customWidth="1"/>
    <col min="2786" max="2786" width="5.33203125" style="161" customWidth="1"/>
    <col min="2787" max="2788" width="11.5" style="161"/>
    <col min="2789" max="2789" width="16.1640625" style="161" bestFit="1" customWidth="1"/>
    <col min="2790" max="2790" width="12.83203125" style="161" bestFit="1" customWidth="1"/>
    <col min="2791" max="2791" width="17.33203125" style="161" customWidth="1"/>
    <col min="2792" max="2792" width="10.5" style="161" bestFit="1" customWidth="1"/>
    <col min="2793" max="2793" width="11.5" style="161"/>
    <col min="2794" max="2794" width="11.5" style="161" bestFit="1"/>
    <col min="2795" max="2795" width="12.1640625" style="161" bestFit="1" customWidth="1"/>
    <col min="2796" max="2796" width="11.5" style="161" bestFit="1"/>
    <col min="2797" max="2797" width="13.1640625" style="161" bestFit="1" customWidth="1"/>
    <col min="2798" max="3040" width="11.5" style="161"/>
    <col min="3041" max="3041" width="59.83203125" style="161" customWidth="1"/>
    <col min="3042" max="3042" width="5.33203125" style="161" customWidth="1"/>
    <col min="3043" max="3044" width="11.5" style="161"/>
    <col min="3045" max="3045" width="16.1640625" style="161" bestFit="1" customWidth="1"/>
    <col min="3046" max="3046" width="12.83203125" style="161" bestFit="1" customWidth="1"/>
    <col min="3047" max="3047" width="17.33203125" style="161" customWidth="1"/>
    <col min="3048" max="3048" width="10.5" style="161" bestFit="1" customWidth="1"/>
    <col min="3049" max="3049" width="11.5" style="161"/>
    <col min="3050" max="3050" width="11.5" style="161" bestFit="1"/>
    <col min="3051" max="3051" width="12.1640625" style="161" bestFit="1" customWidth="1"/>
    <col min="3052" max="3052" width="11.5" style="161" bestFit="1"/>
    <col min="3053" max="3053" width="13.1640625" style="161" bestFit="1" customWidth="1"/>
    <col min="3054" max="3296" width="11.5" style="161"/>
    <col min="3297" max="3297" width="59.83203125" style="161" customWidth="1"/>
    <col min="3298" max="3298" width="5.33203125" style="161" customWidth="1"/>
    <col min="3299" max="3300" width="11.5" style="161"/>
    <col min="3301" max="3301" width="16.1640625" style="161" bestFit="1" customWidth="1"/>
    <col min="3302" max="3302" width="12.83203125" style="161" bestFit="1" customWidth="1"/>
    <col min="3303" max="3303" width="17.33203125" style="161" customWidth="1"/>
    <col min="3304" max="3304" width="10.5" style="161" bestFit="1" customWidth="1"/>
    <col min="3305" max="3305" width="11.5" style="161"/>
    <col min="3306" max="3306" width="11.5" style="161" bestFit="1"/>
    <col min="3307" max="3307" width="12.1640625" style="161" bestFit="1" customWidth="1"/>
    <col min="3308" max="3308" width="11.5" style="161" bestFit="1"/>
    <col min="3309" max="3309" width="13.1640625" style="161" bestFit="1" customWidth="1"/>
    <col min="3310" max="3552" width="11.5" style="161"/>
    <col min="3553" max="3553" width="59.83203125" style="161" customWidth="1"/>
    <col min="3554" max="3554" width="5.33203125" style="161" customWidth="1"/>
    <col min="3555" max="3556" width="11.5" style="161"/>
    <col min="3557" max="3557" width="16.1640625" style="161" bestFit="1" customWidth="1"/>
    <col min="3558" max="3558" width="12.83203125" style="161" bestFit="1" customWidth="1"/>
    <col min="3559" max="3559" width="17.33203125" style="161" customWidth="1"/>
    <col min="3560" max="3560" width="10.5" style="161" bestFit="1" customWidth="1"/>
    <col min="3561" max="3561" width="11.5" style="161"/>
    <col min="3562" max="3562" width="11.5" style="161" bestFit="1"/>
    <col min="3563" max="3563" width="12.1640625" style="161" bestFit="1" customWidth="1"/>
    <col min="3564" max="3564" width="11.5" style="161" bestFit="1"/>
    <col min="3565" max="3565" width="13.1640625" style="161" bestFit="1" customWidth="1"/>
    <col min="3566" max="3808" width="11.5" style="161"/>
    <col min="3809" max="3809" width="59.83203125" style="161" customWidth="1"/>
    <col min="3810" max="3810" width="5.33203125" style="161" customWidth="1"/>
    <col min="3811" max="3812" width="11.5" style="161"/>
    <col min="3813" max="3813" width="16.1640625" style="161" bestFit="1" customWidth="1"/>
    <col min="3814" max="3814" width="12.83203125" style="161" bestFit="1" customWidth="1"/>
    <col min="3815" max="3815" width="17.33203125" style="161" customWidth="1"/>
    <col min="3816" max="3816" width="10.5" style="161" bestFit="1" customWidth="1"/>
    <col min="3817" max="3817" width="11.5" style="161"/>
    <col min="3818" max="3818" width="11.5" style="161" bestFit="1"/>
    <col min="3819" max="3819" width="12.1640625" style="161" bestFit="1" customWidth="1"/>
    <col min="3820" max="3820" width="11.5" style="161" bestFit="1"/>
    <col min="3821" max="3821" width="13.1640625" style="161" bestFit="1" customWidth="1"/>
    <col min="3822" max="4064" width="11.5" style="161"/>
    <col min="4065" max="4065" width="59.83203125" style="161" customWidth="1"/>
    <col min="4066" max="4066" width="5.33203125" style="161" customWidth="1"/>
    <col min="4067" max="4068" width="11.5" style="161"/>
    <col min="4069" max="4069" width="16.1640625" style="161" bestFit="1" customWidth="1"/>
    <col min="4070" max="4070" width="12.83203125" style="161" bestFit="1" customWidth="1"/>
    <col min="4071" max="4071" width="17.33203125" style="161" customWidth="1"/>
    <col min="4072" max="4072" width="10.5" style="161" bestFit="1" customWidth="1"/>
    <col min="4073" max="4073" width="11.5" style="161"/>
    <col min="4074" max="4074" width="11.5" style="161" bestFit="1"/>
    <col min="4075" max="4075" width="12.1640625" style="161" bestFit="1" customWidth="1"/>
    <col min="4076" max="4076" width="11.5" style="161" bestFit="1"/>
    <col min="4077" max="4077" width="13.1640625" style="161" bestFit="1" customWidth="1"/>
    <col min="4078" max="4320" width="11.5" style="161"/>
    <col min="4321" max="4321" width="59.83203125" style="161" customWidth="1"/>
    <col min="4322" max="4322" width="5.33203125" style="161" customWidth="1"/>
    <col min="4323" max="4324" width="11.5" style="161"/>
    <col min="4325" max="4325" width="16.1640625" style="161" bestFit="1" customWidth="1"/>
    <col min="4326" max="4326" width="12.83203125" style="161" bestFit="1" customWidth="1"/>
    <col min="4327" max="4327" width="17.33203125" style="161" customWidth="1"/>
    <col min="4328" max="4328" width="10.5" style="161" bestFit="1" customWidth="1"/>
    <col min="4329" max="4329" width="11.5" style="161"/>
    <col min="4330" max="4330" width="11.5" style="161" bestFit="1"/>
    <col min="4331" max="4331" width="12.1640625" style="161" bestFit="1" customWidth="1"/>
    <col min="4332" max="4332" width="11.5" style="161" bestFit="1"/>
    <col min="4333" max="4333" width="13.1640625" style="161" bestFit="1" customWidth="1"/>
    <col min="4334" max="4576" width="11.5" style="161"/>
    <col min="4577" max="4577" width="59.83203125" style="161" customWidth="1"/>
    <col min="4578" max="4578" width="5.33203125" style="161" customWidth="1"/>
    <col min="4579" max="4580" width="11.5" style="161"/>
    <col min="4581" max="4581" width="16.1640625" style="161" bestFit="1" customWidth="1"/>
    <col min="4582" max="4582" width="12.83203125" style="161" bestFit="1" customWidth="1"/>
    <col min="4583" max="4583" width="17.33203125" style="161" customWidth="1"/>
    <col min="4584" max="4584" width="10.5" style="161" bestFit="1" customWidth="1"/>
    <col min="4585" max="4585" width="11.5" style="161"/>
    <col min="4586" max="4586" width="11.5" style="161" bestFit="1"/>
    <col min="4587" max="4587" width="12.1640625" style="161" bestFit="1" customWidth="1"/>
    <col min="4588" max="4588" width="11.5" style="161" bestFit="1"/>
    <col min="4589" max="4589" width="13.1640625" style="161" bestFit="1" customWidth="1"/>
    <col min="4590" max="4832" width="11.5" style="161"/>
    <col min="4833" max="4833" width="59.83203125" style="161" customWidth="1"/>
    <col min="4834" max="4834" width="5.33203125" style="161" customWidth="1"/>
    <col min="4835" max="4836" width="11.5" style="161"/>
    <col min="4837" max="4837" width="16.1640625" style="161" bestFit="1" customWidth="1"/>
    <col min="4838" max="4838" width="12.83203125" style="161" bestFit="1" customWidth="1"/>
    <col min="4839" max="4839" width="17.33203125" style="161" customWidth="1"/>
    <col min="4840" max="4840" width="10.5" style="161" bestFit="1" customWidth="1"/>
    <col min="4841" max="4841" width="11.5" style="161"/>
    <col min="4842" max="4842" width="11.5" style="161" bestFit="1"/>
    <col min="4843" max="4843" width="12.1640625" style="161" bestFit="1" customWidth="1"/>
    <col min="4844" max="4844" width="11.5" style="161" bestFit="1"/>
    <col min="4845" max="4845" width="13.1640625" style="161" bestFit="1" customWidth="1"/>
    <col min="4846" max="5088" width="11.5" style="161"/>
    <col min="5089" max="5089" width="59.83203125" style="161" customWidth="1"/>
    <col min="5090" max="5090" width="5.33203125" style="161" customWidth="1"/>
    <col min="5091" max="5092" width="11.5" style="161"/>
    <col min="5093" max="5093" width="16.1640625" style="161" bestFit="1" customWidth="1"/>
    <col min="5094" max="5094" width="12.83203125" style="161" bestFit="1" customWidth="1"/>
    <col min="5095" max="5095" width="17.33203125" style="161" customWidth="1"/>
    <col min="5096" max="5096" width="10.5" style="161" bestFit="1" customWidth="1"/>
    <col min="5097" max="5097" width="11.5" style="161"/>
    <col min="5098" max="5098" width="11.5" style="161" bestFit="1"/>
    <col min="5099" max="5099" width="12.1640625" style="161" bestFit="1" customWidth="1"/>
    <col min="5100" max="5100" width="11.5" style="161" bestFit="1"/>
    <col min="5101" max="5101" width="13.1640625" style="161" bestFit="1" customWidth="1"/>
    <col min="5102" max="5344" width="11.5" style="161"/>
    <col min="5345" max="5345" width="59.83203125" style="161" customWidth="1"/>
    <col min="5346" max="5346" width="5.33203125" style="161" customWidth="1"/>
    <col min="5347" max="5348" width="11.5" style="161"/>
    <col min="5349" max="5349" width="16.1640625" style="161" bestFit="1" customWidth="1"/>
    <col min="5350" max="5350" width="12.83203125" style="161" bestFit="1" customWidth="1"/>
    <col min="5351" max="5351" width="17.33203125" style="161" customWidth="1"/>
    <col min="5352" max="5352" width="10.5" style="161" bestFit="1" customWidth="1"/>
    <col min="5353" max="5353" width="11.5" style="161"/>
    <col min="5354" max="5354" width="11.5" style="161" bestFit="1"/>
    <col min="5355" max="5355" width="12.1640625" style="161" bestFit="1" customWidth="1"/>
    <col min="5356" max="5356" width="11.5" style="161" bestFit="1"/>
    <col min="5357" max="5357" width="13.1640625" style="161" bestFit="1" customWidth="1"/>
    <col min="5358" max="5600" width="11.5" style="161"/>
    <col min="5601" max="5601" width="59.83203125" style="161" customWidth="1"/>
    <col min="5602" max="5602" width="5.33203125" style="161" customWidth="1"/>
    <col min="5603" max="5604" width="11.5" style="161"/>
    <col min="5605" max="5605" width="16.1640625" style="161" bestFit="1" customWidth="1"/>
    <col min="5606" max="5606" width="12.83203125" style="161" bestFit="1" customWidth="1"/>
    <col min="5607" max="5607" width="17.33203125" style="161" customWidth="1"/>
    <col min="5608" max="5608" width="10.5" style="161" bestFit="1" customWidth="1"/>
    <col min="5609" max="5609" width="11.5" style="161"/>
    <col min="5610" max="5610" width="11.5" style="161" bestFit="1"/>
    <col min="5611" max="5611" width="12.1640625" style="161" bestFit="1" customWidth="1"/>
    <col min="5612" max="5612" width="11.5" style="161" bestFit="1"/>
    <col min="5613" max="5613" width="13.1640625" style="161" bestFit="1" customWidth="1"/>
    <col min="5614" max="5856" width="11.5" style="161"/>
    <col min="5857" max="5857" width="59.83203125" style="161" customWidth="1"/>
    <col min="5858" max="5858" width="5.33203125" style="161" customWidth="1"/>
    <col min="5859" max="5860" width="11.5" style="161"/>
    <col min="5861" max="5861" width="16.1640625" style="161" bestFit="1" customWidth="1"/>
    <col min="5862" max="5862" width="12.83203125" style="161" bestFit="1" customWidth="1"/>
    <col min="5863" max="5863" width="17.33203125" style="161" customWidth="1"/>
    <col min="5864" max="5864" width="10.5" style="161" bestFit="1" customWidth="1"/>
    <col min="5865" max="5865" width="11.5" style="161"/>
    <col min="5866" max="5866" width="11.5" style="161" bestFit="1"/>
    <col min="5867" max="5867" width="12.1640625" style="161" bestFit="1" customWidth="1"/>
    <col min="5868" max="5868" width="11.5" style="161" bestFit="1"/>
    <col min="5869" max="5869" width="13.1640625" style="161" bestFit="1" customWidth="1"/>
    <col min="5870" max="6112" width="11.5" style="161"/>
    <col min="6113" max="6113" width="59.83203125" style="161" customWidth="1"/>
    <col min="6114" max="6114" width="5.33203125" style="161" customWidth="1"/>
    <col min="6115" max="6116" width="11.5" style="161"/>
    <col min="6117" max="6117" width="16.1640625" style="161" bestFit="1" customWidth="1"/>
    <col min="6118" max="6118" width="12.83203125" style="161" bestFit="1" customWidth="1"/>
    <col min="6119" max="6119" width="17.33203125" style="161" customWidth="1"/>
    <col min="6120" max="6120" width="10.5" style="161" bestFit="1" customWidth="1"/>
    <col min="6121" max="6121" width="11.5" style="161"/>
    <col min="6122" max="6122" width="11.5" style="161" bestFit="1"/>
    <col min="6123" max="6123" width="12.1640625" style="161" bestFit="1" customWidth="1"/>
    <col min="6124" max="6124" width="11.5" style="161" bestFit="1"/>
    <col min="6125" max="6125" width="13.1640625" style="161" bestFit="1" customWidth="1"/>
    <col min="6126" max="6368" width="11.5" style="161"/>
    <col min="6369" max="6369" width="59.83203125" style="161" customWidth="1"/>
    <col min="6370" max="6370" width="5.33203125" style="161" customWidth="1"/>
    <col min="6371" max="6372" width="11.5" style="161"/>
    <col min="6373" max="6373" width="16.1640625" style="161" bestFit="1" customWidth="1"/>
    <col min="6374" max="6374" width="12.83203125" style="161" bestFit="1" customWidth="1"/>
    <col min="6375" max="6375" width="17.33203125" style="161" customWidth="1"/>
    <col min="6376" max="6376" width="10.5" style="161" bestFit="1" customWidth="1"/>
    <col min="6377" max="6377" width="11.5" style="161"/>
    <col min="6378" max="6378" width="11.5" style="161" bestFit="1"/>
    <col min="6379" max="6379" width="12.1640625" style="161" bestFit="1" customWidth="1"/>
    <col min="6380" max="6380" width="11.5" style="161" bestFit="1"/>
    <col min="6381" max="6381" width="13.1640625" style="161" bestFit="1" customWidth="1"/>
    <col min="6382" max="6624" width="11.5" style="161"/>
    <col min="6625" max="6625" width="59.83203125" style="161" customWidth="1"/>
    <col min="6626" max="6626" width="5.33203125" style="161" customWidth="1"/>
    <col min="6627" max="6628" width="11.5" style="161"/>
    <col min="6629" max="6629" width="16.1640625" style="161" bestFit="1" customWidth="1"/>
    <col min="6630" max="6630" width="12.83203125" style="161" bestFit="1" customWidth="1"/>
    <col min="6631" max="6631" width="17.33203125" style="161" customWidth="1"/>
    <col min="6632" max="6632" width="10.5" style="161" bestFit="1" customWidth="1"/>
    <col min="6633" max="6633" width="11.5" style="161"/>
    <col min="6634" max="6634" width="11.5" style="161" bestFit="1"/>
    <col min="6635" max="6635" width="12.1640625" style="161" bestFit="1" customWidth="1"/>
    <col min="6636" max="6636" width="11.5" style="161" bestFit="1"/>
    <col min="6637" max="6637" width="13.1640625" style="161" bestFit="1" customWidth="1"/>
    <col min="6638" max="6880" width="11.5" style="161"/>
    <col min="6881" max="6881" width="59.83203125" style="161" customWidth="1"/>
    <col min="6882" max="6882" width="5.33203125" style="161" customWidth="1"/>
    <col min="6883" max="6884" width="11.5" style="161"/>
    <col min="6885" max="6885" width="16.1640625" style="161" bestFit="1" customWidth="1"/>
    <col min="6886" max="6886" width="12.83203125" style="161" bestFit="1" customWidth="1"/>
    <col min="6887" max="6887" width="17.33203125" style="161" customWidth="1"/>
    <col min="6888" max="6888" width="10.5" style="161" bestFit="1" customWidth="1"/>
    <col min="6889" max="6889" width="11.5" style="161"/>
    <col min="6890" max="6890" width="11.5" style="161" bestFit="1"/>
    <col min="6891" max="6891" width="12.1640625" style="161" bestFit="1" customWidth="1"/>
    <col min="6892" max="6892" width="11.5" style="161" bestFit="1"/>
    <col min="6893" max="6893" width="13.1640625" style="161" bestFit="1" customWidth="1"/>
    <col min="6894" max="7136" width="11.5" style="161"/>
    <col min="7137" max="7137" width="59.83203125" style="161" customWidth="1"/>
    <col min="7138" max="7138" width="5.33203125" style="161" customWidth="1"/>
    <col min="7139" max="7140" width="11.5" style="161"/>
    <col min="7141" max="7141" width="16.1640625" style="161" bestFit="1" customWidth="1"/>
    <col min="7142" max="7142" width="12.83203125" style="161" bestFit="1" customWidth="1"/>
    <col min="7143" max="7143" width="17.33203125" style="161" customWidth="1"/>
    <col min="7144" max="7144" width="10.5" style="161" bestFit="1" customWidth="1"/>
    <col min="7145" max="7145" width="11.5" style="161"/>
    <col min="7146" max="7146" width="11.5" style="161" bestFit="1"/>
    <col min="7147" max="7147" width="12.1640625" style="161" bestFit="1" customWidth="1"/>
    <col min="7148" max="7148" width="11.5" style="161" bestFit="1"/>
    <col min="7149" max="7149" width="13.1640625" style="161" bestFit="1" customWidth="1"/>
    <col min="7150" max="7392" width="11.5" style="161"/>
    <col min="7393" max="7393" width="59.83203125" style="161" customWidth="1"/>
    <col min="7394" max="7394" width="5.33203125" style="161" customWidth="1"/>
    <col min="7395" max="7396" width="11.5" style="161"/>
    <col min="7397" max="7397" width="16.1640625" style="161" bestFit="1" customWidth="1"/>
    <col min="7398" max="7398" width="12.83203125" style="161" bestFit="1" customWidth="1"/>
    <col min="7399" max="7399" width="17.33203125" style="161" customWidth="1"/>
    <col min="7400" max="7400" width="10.5" style="161" bestFit="1" customWidth="1"/>
    <col min="7401" max="7401" width="11.5" style="161"/>
    <col min="7402" max="7402" width="11.5" style="161" bestFit="1"/>
    <col min="7403" max="7403" width="12.1640625" style="161" bestFit="1" customWidth="1"/>
    <col min="7404" max="7404" width="11.5" style="161" bestFit="1"/>
    <col min="7405" max="7405" width="13.1640625" style="161" bestFit="1" customWidth="1"/>
    <col min="7406" max="7648" width="11.5" style="161"/>
    <col min="7649" max="7649" width="59.83203125" style="161" customWidth="1"/>
    <col min="7650" max="7650" width="5.33203125" style="161" customWidth="1"/>
    <col min="7651" max="7652" width="11.5" style="161"/>
    <col min="7653" max="7653" width="16.1640625" style="161" bestFit="1" customWidth="1"/>
    <col min="7654" max="7654" width="12.83203125" style="161" bestFit="1" customWidth="1"/>
    <col min="7655" max="7655" width="17.33203125" style="161" customWidth="1"/>
    <col min="7656" max="7656" width="10.5" style="161" bestFit="1" customWidth="1"/>
    <col min="7657" max="7657" width="11.5" style="161"/>
    <col min="7658" max="7658" width="11.5" style="161" bestFit="1"/>
    <col min="7659" max="7659" width="12.1640625" style="161" bestFit="1" customWidth="1"/>
    <col min="7660" max="7660" width="11.5" style="161" bestFit="1"/>
    <col min="7661" max="7661" width="13.1640625" style="161" bestFit="1" customWidth="1"/>
    <col min="7662" max="7904" width="11.5" style="161"/>
    <col min="7905" max="7905" width="59.83203125" style="161" customWidth="1"/>
    <col min="7906" max="7906" width="5.33203125" style="161" customWidth="1"/>
    <col min="7907" max="7908" width="11.5" style="161"/>
    <col min="7909" max="7909" width="16.1640625" style="161" bestFit="1" customWidth="1"/>
    <col min="7910" max="7910" width="12.83203125" style="161" bestFit="1" customWidth="1"/>
    <col min="7911" max="7911" width="17.33203125" style="161" customWidth="1"/>
    <col min="7912" max="7912" width="10.5" style="161" bestFit="1" customWidth="1"/>
    <col min="7913" max="7913" width="11.5" style="161"/>
    <col min="7914" max="7914" width="11.5" style="161" bestFit="1"/>
    <col min="7915" max="7915" width="12.1640625" style="161" bestFit="1" customWidth="1"/>
    <col min="7916" max="7916" width="11.5" style="161" bestFit="1"/>
    <col min="7917" max="7917" width="13.1640625" style="161" bestFit="1" customWidth="1"/>
    <col min="7918" max="8160" width="11.5" style="161"/>
    <col min="8161" max="8161" width="59.83203125" style="161" customWidth="1"/>
    <col min="8162" max="8162" width="5.33203125" style="161" customWidth="1"/>
    <col min="8163" max="8164" width="11.5" style="161"/>
    <col min="8165" max="8165" width="16.1640625" style="161" bestFit="1" customWidth="1"/>
    <col min="8166" max="8166" width="12.83203125" style="161" bestFit="1" customWidth="1"/>
    <col min="8167" max="8167" width="17.33203125" style="161" customWidth="1"/>
    <col min="8168" max="8168" width="10.5" style="161" bestFit="1" customWidth="1"/>
    <col min="8169" max="8169" width="11.5" style="161"/>
    <col min="8170" max="8170" width="11.5" style="161" bestFit="1"/>
    <col min="8171" max="8171" width="12.1640625" style="161" bestFit="1" customWidth="1"/>
    <col min="8172" max="8172" width="11.5" style="161" bestFit="1"/>
    <col min="8173" max="8173" width="13.1640625" style="161" bestFit="1" customWidth="1"/>
    <col min="8174" max="8416" width="11.5" style="161"/>
    <col min="8417" max="8417" width="59.83203125" style="161" customWidth="1"/>
    <col min="8418" max="8418" width="5.33203125" style="161" customWidth="1"/>
    <col min="8419" max="8420" width="11.5" style="161"/>
    <col min="8421" max="8421" width="16.1640625" style="161" bestFit="1" customWidth="1"/>
    <col min="8422" max="8422" width="12.83203125" style="161" bestFit="1" customWidth="1"/>
    <col min="8423" max="8423" width="17.33203125" style="161" customWidth="1"/>
    <col min="8424" max="8424" width="10.5" style="161" bestFit="1" customWidth="1"/>
    <col min="8425" max="8425" width="11.5" style="161"/>
    <col min="8426" max="8426" width="11.5" style="161" bestFit="1"/>
    <col min="8427" max="8427" width="12.1640625" style="161" bestFit="1" customWidth="1"/>
    <col min="8428" max="8428" width="11.5" style="161" bestFit="1"/>
    <col min="8429" max="8429" width="13.1640625" style="161" bestFit="1" customWidth="1"/>
    <col min="8430" max="8672" width="11.5" style="161"/>
    <col min="8673" max="8673" width="59.83203125" style="161" customWidth="1"/>
    <col min="8674" max="8674" width="5.33203125" style="161" customWidth="1"/>
    <col min="8675" max="8676" width="11.5" style="161"/>
    <col min="8677" max="8677" width="16.1640625" style="161" bestFit="1" customWidth="1"/>
    <col min="8678" max="8678" width="12.83203125" style="161" bestFit="1" customWidth="1"/>
    <col min="8679" max="8679" width="17.33203125" style="161" customWidth="1"/>
    <col min="8680" max="8680" width="10.5" style="161" bestFit="1" customWidth="1"/>
    <col min="8681" max="8681" width="11.5" style="161"/>
    <col min="8682" max="8682" width="11.5" style="161" bestFit="1"/>
    <col min="8683" max="8683" width="12.1640625" style="161" bestFit="1" customWidth="1"/>
    <col min="8684" max="8684" width="11.5" style="161" bestFit="1"/>
    <col min="8685" max="8685" width="13.1640625" style="161" bestFit="1" customWidth="1"/>
    <col min="8686" max="8928" width="11.5" style="161"/>
    <col min="8929" max="8929" width="59.83203125" style="161" customWidth="1"/>
    <col min="8930" max="8930" width="5.33203125" style="161" customWidth="1"/>
    <col min="8931" max="8932" width="11.5" style="161"/>
    <col min="8933" max="8933" width="16.1640625" style="161" bestFit="1" customWidth="1"/>
    <col min="8934" max="8934" width="12.83203125" style="161" bestFit="1" customWidth="1"/>
    <col min="8935" max="8935" width="17.33203125" style="161" customWidth="1"/>
    <col min="8936" max="8936" width="10.5" style="161" bestFit="1" customWidth="1"/>
    <col min="8937" max="8937" width="11.5" style="161"/>
    <col min="8938" max="8938" width="11.5" style="161" bestFit="1"/>
    <col min="8939" max="8939" width="12.1640625" style="161" bestFit="1" customWidth="1"/>
    <col min="8940" max="8940" width="11.5" style="161" bestFit="1"/>
    <col min="8941" max="8941" width="13.1640625" style="161" bestFit="1" customWidth="1"/>
    <col min="8942" max="9184" width="11.5" style="161"/>
    <col min="9185" max="9185" width="59.83203125" style="161" customWidth="1"/>
    <col min="9186" max="9186" width="5.33203125" style="161" customWidth="1"/>
    <col min="9187" max="9188" width="11.5" style="161"/>
    <col min="9189" max="9189" width="16.1640625" style="161" bestFit="1" customWidth="1"/>
    <col min="9190" max="9190" width="12.83203125" style="161" bestFit="1" customWidth="1"/>
    <col min="9191" max="9191" width="17.33203125" style="161" customWidth="1"/>
    <col min="9192" max="9192" width="10.5" style="161" bestFit="1" customWidth="1"/>
    <col min="9193" max="9193" width="11.5" style="161"/>
    <col min="9194" max="9194" width="11.5" style="161" bestFit="1"/>
    <col min="9195" max="9195" width="12.1640625" style="161" bestFit="1" customWidth="1"/>
    <col min="9196" max="9196" width="11.5" style="161" bestFit="1"/>
    <col min="9197" max="9197" width="13.1640625" style="161" bestFit="1" customWidth="1"/>
    <col min="9198" max="9440" width="11.5" style="161"/>
    <col min="9441" max="9441" width="59.83203125" style="161" customWidth="1"/>
    <col min="9442" max="9442" width="5.33203125" style="161" customWidth="1"/>
    <col min="9443" max="9444" width="11.5" style="161"/>
    <col min="9445" max="9445" width="16.1640625" style="161" bestFit="1" customWidth="1"/>
    <col min="9446" max="9446" width="12.83203125" style="161" bestFit="1" customWidth="1"/>
    <col min="9447" max="9447" width="17.33203125" style="161" customWidth="1"/>
    <col min="9448" max="9448" width="10.5" style="161" bestFit="1" customWidth="1"/>
    <col min="9449" max="9449" width="11.5" style="161"/>
    <col min="9450" max="9450" width="11.5" style="161" bestFit="1"/>
    <col min="9451" max="9451" width="12.1640625" style="161" bestFit="1" customWidth="1"/>
    <col min="9452" max="9452" width="11.5" style="161" bestFit="1"/>
    <col min="9453" max="9453" width="13.1640625" style="161" bestFit="1" customWidth="1"/>
    <col min="9454" max="9696" width="11.5" style="161"/>
    <col min="9697" max="9697" width="59.83203125" style="161" customWidth="1"/>
    <col min="9698" max="9698" width="5.33203125" style="161" customWidth="1"/>
    <col min="9699" max="9700" width="11.5" style="161"/>
    <col min="9701" max="9701" width="16.1640625" style="161" bestFit="1" customWidth="1"/>
    <col min="9702" max="9702" width="12.83203125" style="161" bestFit="1" customWidth="1"/>
    <col min="9703" max="9703" width="17.33203125" style="161" customWidth="1"/>
    <col min="9704" max="9704" width="10.5" style="161" bestFit="1" customWidth="1"/>
    <col min="9705" max="9705" width="11.5" style="161"/>
    <col min="9706" max="9706" width="11.5" style="161" bestFit="1"/>
    <col min="9707" max="9707" width="12.1640625" style="161" bestFit="1" customWidth="1"/>
    <col min="9708" max="9708" width="11.5" style="161" bestFit="1"/>
    <col min="9709" max="9709" width="13.1640625" style="161" bestFit="1" customWidth="1"/>
    <col min="9710" max="9952" width="11.5" style="161"/>
    <col min="9953" max="9953" width="59.83203125" style="161" customWidth="1"/>
    <col min="9954" max="9954" width="5.33203125" style="161" customWidth="1"/>
    <col min="9955" max="9956" width="11.5" style="161"/>
    <col min="9957" max="9957" width="16.1640625" style="161" bestFit="1" customWidth="1"/>
    <col min="9958" max="9958" width="12.83203125" style="161" bestFit="1" customWidth="1"/>
    <col min="9959" max="9959" width="17.33203125" style="161" customWidth="1"/>
    <col min="9960" max="9960" width="10.5" style="161" bestFit="1" customWidth="1"/>
    <col min="9961" max="9961" width="11.5" style="161"/>
    <col min="9962" max="9962" width="11.5" style="161" bestFit="1"/>
    <col min="9963" max="9963" width="12.1640625" style="161" bestFit="1" customWidth="1"/>
    <col min="9964" max="9964" width="11.5" style="161" bestFit="1"/>
    <col min="9965" max="9965" width="13.1640625" style="161" bestFit="1" customWidth="1"/>
    <col min="9966" max="10208" width="11.5" style="161"/>
    <col min="10209" max="10209" width="59.83203125" style="161" customWidth="1"/>
    <col min="10210" max="10210" width="5.33203125" style="161" customWidth="1"/>
    <col min="10211" max="10212" width="11.5" style="161"/>
    <col min="10213" max="10213" width="16.1640625" style="161" bestFit="1" customWidth="1"/>
    <col min="10214" max="10214" width="12.83203125" style="161" bestFit="1" customWidth="1"/>
    <col min="10215" max="10215" width="17.33203125" style="161" customWidth="1"/>
    <col min="10216" max="10216" width="10.5" style="161" bestFit="1" customWidth="1"/>
    <col min="10217" max="10217" width="11.5" style="161"/>
    <col min="10218" max="10218" width="11.5" style="161" bestFit="1"/>
    <col min="10219" max="10219" width="12.1640625" style="161" bestFit="1" customWidth="1"/>
    <col min="10220" max="10220" width="11.5" style="161" bestFit="1"/>
    <col min="10221" max="10221" width="13.1640625" style="161" bestFit="1" customWidth="1"/>
    <col min="10222" max="10464" width="11.5" style="161"/>
    <col min="10465" max="10465" width="59.83203125" style="161" customWidth="1"/>
    <col min="10466" max="10466" width="5.33203125" style="161" customWidth="1"/>
    <col min="10467" max="10468" width="11.5" style="161"/>
    <col min="10469" max="10469" width="16.1640625" style="161" bestFit="1" customWidth="1"/>
    <col min="10470" max="10470" width="12.83203125" style="161" bestFit="1" customWidth="1"/>
    <col min="10471" max="10471" width="17.33203125" style="161" customWidth="1"/>
    <col min="10472" max="10472" width="10.5" style="161" bestFit="1" customWidth="1"/>
    <col min="10473" max="10473" width="11.5" style="161"/>
    <col min="10474" max="10474" width="11.5" style="161" bestFit="1"/>
    <col min="10475" max="10475" width="12.1640625" style="161" bestFit="1" customWidth="1"/>
    <col min="10476" max="10476" width="11.5" style="161" bestFit="1"/>
    <col min="10477" max="10477" width="13.1640625" style="161" bestFit="1" customWidth="1"/>
    <col min="10478" max="10720" width="11.5" style="161"/>
    <col min="10721" max="10721" width="59.83203125" style="161" customWidth="1"/>
    <col min="10722" max="10722" width="5.33203125" style="161" customWidth="1"/>
    <col min="10723" max="10724" width="11.5" style="161"/>
    <col min="10725" max="10725" width="16.1640625" style="161" bestFit="1" customWidth="1"/>
    <col min="10726" max="10726" width="12.83203125" style="161" bestFit="1" customWidth="1"/>
    <col min="10727" max="10727" width="17.33203125" style="161" customWidth="1"/>
    <col min="10728" max="10728" width="10.5" style="161" bestFit="1" customWidth="1"/>
    <col min="10729" max="10729" width="11.5" style="161"/>
    <col min="10730" max="10730" width="11.5" style="161" bestFit="1"/>
    <col min="10731" max="10731" width="12.1640625" style="161" bestFit="1" customWidth="1"/>
    <col min="10732" max="10732" width="11.5" style="161" bestFit="1"/>
    <col min="10733" max="10733" width="13.1640625" style="161" bestFit="1" customWidth="1"/>
    <col min="10734" max="10976" width="11.5" style="161"/>
    <col min="10977" max="10977" width="59.83203125" style="161" customWidth="1"/>
    <col min="10978" max="10978" width="5.33203125" style="161" customWidth="1"/>
    <col min="10979" max="10980" width="11.5" style="161"/>
    <col min="10981" max="10981" width="16.1640625" style="161" bestFit="1" customWidth="1"/>
    <col min="10982" max="10982" width="12.83203125" style="161" bestFit="1" customWidth="1"/>
    <col min="10983" max="10983" width="17.33203125" style="161" customWidth="1"/>
    <col min="10984" max="10984" width="10.5" style="161" bestFit="1" customWidth="1"/>
    <col min="10985" max="10985" width="11.5" style="161"/>
    <col min="10986" max="10986" width="11.5" style="161" bestFit="1"/>
    <col min="10987" max="10987" width="12.1640625" style="161" bestFit="1" customWidth="1"/>
    <col min="10988" max="10988" width="11.5" style="161" bestFit="1"/>
    <col min="10989" max="10989" width="13.1640625" style="161" bestFit="1" customWidth="1"/>
    <col min="10990" max="11232" width="11.5" style="161"/>
    <col min="11233" max="11233" width="59.83203125" style="161" customWidth="1"/>
    <col min="11234" max="11234" width="5.33203125" style="161" customWidth="1"/>
    <col min="11235" max="11236" width="11.5" style="161"/>
    <col min="11237" max="11237" width="16.1640625" style="161" bestFit="1" customWidth="1"/>
    <col min="11238" max="11238" width="12.83203125" style="161" bestFit="1" customWidth="1"/>
    <col min="11239" max="11239" width="17.33203125" style="161" customWidth="1"/>
    <col min="11240" max="11240" width="10.5" style="161" bestFit="1" customWidth="1"/>
    <col min="11241" max="11241" width="11.5" style="161"/>
    <col min="11242" max="11242" width="11.5" style="161" bestFit="1"/>
    <col min="11243" max="11243" width="12.1640625" style="161" bestFit="1" customWidth="1"/>
    <col min="11244" max="11244" width="11.5" style="161" bestFit="1"/>
    <col min="11245" max="11245" width="13.1640625" style="161" bestFit="1" customWidth="1"/>
    <col min="11246" max="11488" width="11.5" style="161"/>
    <col min="11489" max="11489" width="59.83203125" style="161" customWidth="1"/>
    <col min="11490" max="11490" width="5.33203125" style="161" customWidth="1"/>
    <col min="11491" max="11492" width="11.5" style="161"/>
    <col min="11493" max="11493" width="16.1640625" style="161" bestFit="1" customWidth="1"/>
    <col min="11494" max="11494" width="12.83203125" style="161" bestFit="1" customWidth="1"/>
    <col min="11495" max="11495" width="17.33203125" style="161" customWidth="1"/>
    <col min="11496" max="11496" width="10.5" style="161" bestFit="1" customWidth="1"/>
    <col min="11497" max="11497" width="11.5" style="161"/>
    <col min="11498" max="11498" width="11.5" style="161" bestFit="1"/>
    <col min="11499" max="11499" width="12.1640625" style="161" bestFit="1" customWidth="1"/>
    <col min="11500" max="11500" width="11.5" style="161" bestFit="1"/>
    <col min="11501" max="11501" width="13.1640625" style="161" bestFit="1" customWidth="1"/>
    <col min="11502" max="11744" width="11.5" style="161"/>
    <col min="11745" max="11745" width="59.83203125" style="161" customWidth="1"/>
    <col min="11746" max="11746" width="5.33203125" style="161" customWidth="1"/>
    <col min="11747" max="11748" width="11.5" style="161"/>
    <col min="11749" max="11749" width="16.1640625" style="161" bestFit="1" customWidth="1"/>
    <col min="11750" max="11750" width="12.83203125" style="161" bestFit="1" customWidth="1"/>
    <col min="11751" max="11751" width="17.33203125" style="161" customWidth="1"/>
    <col min="11752" max="11752" width="10.5" style="161" bestFit="1" customWidth="1"/>
    <col min="11753" max="11753" width="11.5" style="161"/>
    <col min="11754" max="11754" width="11.5" style="161" bestFit="1"/>
    <col min="11755" max="11755" width="12.1640625" style="161" bestFit="1" customWidth="1"/>
    <col min="11756" max="11756" width="11.5" style="161" bestFit="1"/>
    <col min="11757" max="11757" width="13.1640625" style="161" bestFit="1" customWidth="1"/>
    <col min="11758" max="12000" width="11.5" style="161"/>
    <col min="12001" max="12001" width="59.83203125" style="161" customWidth="1"/>
    <col min="12002" max="12002" width="5.33203125" style="161" customWidth="1"/>
    <col min="12003" max="12004" width="11.5" style="161"/>
    <col min="12005" max="12005" width="16.1640625" style="161" bestFit="1" customWidth="1"/>
    <col min="12006" max="12006" width="12.83203125" style="161" bestFit="1" customWidth="1"/>
    <col min="12007" max="12007" width="17.33203125" style="161" customWidth="1"/>
    <col min="12008" max="12008" width="10.5" style="161" bestFit="1" customWidth="1"/>
    <col min="12009" max="12009" width="11.5" style="161"/>
    <col min="12010" max="12010" width="11.5" style="161" bestFit="1"/>
    <col min="12011" max="12011" width="12.1640625" style="161" bestFit="1" customWidth="1"/>
    <col min="12012" max="12012" width="11.5" style="161" bestFit="1"/>
    <col min="12013" max="12013" width="13.1640625" style="161" bestFit="1" customWidth="1"/>
    <col min="12014" max="12256" width="11.5" style="161"/>
    <col min="12257" max="12257" width="59.83203125" style="161" customWidth="1"/>
    <col min="12258" max="12258" width="5.33203125" style="161" customWidth="1"/>
    <col min="12259" max="12260" width="11.5" style="161"/>
    <col min="12261" max="12261" width="16.1640625" style="161" bestFit="1" customWidth="1"/>
    <col min="12262" max="12262" width="12.83203125" style="161" bestFit="1" customWidth="1"/>
    <col min="12263" max="12263" width="17.33203125" style="161" customWidth="1"/>
    <col min="12264" max="12264" width="10.5" style="161" bestFit="1" customWidth="1"/>
    <col min="12265" max="12265" width="11.5" style="161"/>
    <col min="12266" max="12266" width="11.5" style="161" bestFit="1"/>
    <col min="12267" max="12267" width="12.1640625" style="161" bestFit="1" customWidth="1"/>
    <col min="12268" max="12268" width="11.5" style="161" bestFit="1"/>
    <col min="12269" max="12269" width="13.1640625" style="161" bestFit="1" customWidth="1"/>
    <col min="12270" max="12512" width="11.5" style="161"/>
    <col min="12513" max="12513" width="59.83203125" style="161" customWidth="1"/>
    <col min="12514" max="12514" width="5.33203125" style="161" customWidth="1"/>
    <col min="12515" max="12516" width="11.5" style="161"/>
    <col min="12517" max="12517" width="16.1640625" style="161" bestFit="1" customWidth="1"/>
    <col min="12518" max="12518" width="12.83203125" style="161" bestFit="1" customWidth="1"/>
    <col min="12519" max="12519" width="17.33203125" style="161" customWidth="1"/>
    <col min="12520" max="12520" width="10.5" style="161" bestFit="1" customWidth="1"/>
    <col min="12521" max="12521" width="11.5" style="161"/>
    <col min="12522" max="12522" width="11.5" style="161" bestFit="1"/>
    <col min="12523" max="12523" width="12.1640625" style="161" bestFit="1" customWidth="1"/>
    <col min="12524" max="12524" width="11.5" style="161" bestFit="1"/>
    <col min="12525" max="12525" width="13.1640625" style="161" bestFit="1" customWidth="1"/>
    <col min="12526" max="12768" width="11.5" style="161"/>
    <col min="12769" max="12769" width="59.83203125" style="161" customWidth="1"/>
    <col min="12770" max="12770" width="5.33203125" style="161" customWidth="1"/>
    <col min="12771" max="12772" width="11.5" style="161"/>
    <col min="12773" max="12773" width="16.1640625" style="161" bestFit="1" customWidth="1"/>
    <col min="12774" max="12774" width="12.83203125" style="161" bestFit="1" customWidth="1"/>
    <col min="12775" max="12775" width="17.33203125" style="161" customWidth="1"/>
    <col min="12776" max="12776" width="10.5" style="161" bestFit="1" customWidth="1"/>
    <col min="12777" max="12777" width="11.5" style="161"/>
    <col min="12778" max="12778" width="11.5" style="161" bestFit="1"/>
    <col min="12779" max="12779" width="12.1640625" style="161" bestFit="1" customWidth="1"/>
    <col min="12780" max="12780" width="11.5" style="161" bestFit="1"/>
    <col min="12781" max="12781" width="13.1640625" style="161" bestFit="1" customWidth="1"/>
    <col min="12782" max="13024" width="11.5" style="161"/>
    <col min="13025" max="13025" width="59.83203125" style="161" customWidth="1"/>
    <col min="13026" max="13026" width="5.33203125" style="161" customWidth="1"/>
    <col min="13027" max="13028" width="11.5" style="161"/>
    <col min="13029" max="13029" width="16.1640625" style="161" bestFit="1" customWidth="1"/>
    <col min="13030" max="13030" width="12.83203125" style="161" bestFit="1" customWidth="1"/>
    <col min="13031" max="13031" width="17.33203125" style="161" customWidth="1"/>
    <col min="13032" max="13032" width="10.5" style="161" bestFit="1" customWidth="1"/>
    <col min="13033" max="13033" width="11.5" style="161"/>
    <col min="13034" max="13034" width="11.5" style="161" bestFit="1"/>
    <col min="13035" max="13035" width="12.1640625" style="161" bestFit="1" customWidth="1"/>
    <col min="13036" max="13036" width="11.5" style="161" bestFit="1"/>
    <col min="13037" max="13037" width="13.1640625" style="161" bestFit="1" customWidth="1"/>
    <col min="13038" max="13280" width="11.5" style="161"/>
    <col min="13281" max="13281" width="59.83203125" style="161" customWidth="1"/>
    <col min="13282" max="13282" width="5.33203125" style="161" customWidth="1"/>
    <col min="13283" max="13284" width="11.5" style="161"/>
    <col min="13285" max="13285" width="16.1640625" style="161" bestFit="1" customWidth="1"/>
    <col min="13286" max="13286" width="12.83203125" style="161" bestFit="1" customWidth="1"/>
    <col min="13287" max="13287" width="17.33203125" style="161" customWidth="1"/>
    <col min="13288" max="13288" width="10.5" style="161" bestFit="1" customWidth="1"/>
    <col min="13289" max="13289" width="11.5" style="161"/>
    <col min="13290" max="13290" width="11.5" style="161" bestFit="1"/>
    <col min="13291" max="13291" width="12.1640625" style="161" bestFit="1" customWidth="1"/>
    <col min="13292" max="13292" width="11.5" style="161" bestFit="1"/>
    <col min="13293" max="13293" width="13.1640625" style="161" bestFit="1" customWidth="1"/>
    <col min="13294" max="13536" width="11.5" style="161"/>
    <col min="13537" max="13537" width="59.83203125" style="161" customWidth="1"/>
    <col min="13538" max="13538" width="5.33203125" style="161" customWidth="1"/>
    <col min="13539" max="13540" width="11.5" style="161"/>
    <col min="13541" max="13541" width="16.1640625" style="161" bestFit="1" customWidth="1"/>
    <col min="13542" max="13542" width="12.83203125" style="161" bestFit="1" customWidth="1"/>
    <col min="13543" max="13543" width="17.33203125" style="161" customWidth="1"/>
    <col min="13544" max="13544" width="10.5" style="161" bestFit="1" customWidth="1"/>
    <col min="13545" max="13545" width="11.5" style="161"/>
    <col min="13546" max="13546" width="11.5" style="161" bestFit="1"/>
    <col min="13547" max="13547" width="12.1640625" style="161" bestFit="1" customWidth="1"/>
    <col min="13548" max="13548" width="11.5" style="161" bestFit="1"/>
    <col min="13549" max="13549" width="13.1640625" style="161" bestFit="1" customWidth="1"/>
    <col min="13550" max="13792" width="11.5" style="161"/>
    <col min="13793" max="13793" width="59.83203125" style="161" customWidth="1"/>
    <col min="13794" max="13794" width="5.33203125" style="161" customWidth="1"/>
    <col min="13795" max="13796" width="11.5" style="161"/>
    <col min="13797" max="13797" width="16.1640625" style="161" bestFit="1" customWidth="1"/>
    <col min="13798" max="13798" width="12.83203125" style="161" bestFit="1" customWidth="1"/>
    <col min="13799" max="13799" width="17.33203125" style="161" customWidth="1"/>
    <col min="13800" max="13800" width="10.5" style="161" bestFit="1" customWidth="1"/>
    <col min="13801" max="13801" width="11.5" style="161"/>
    <col min="13802" max="13802" width="11.5" style="161" bestFit="1"/>
    <col min="13803" max="13803" width="12.1640625" style="161" bestFit="1" customWidth="1"/>
    <col min="13804" max="13804" width="11.5" style="161" bestFit="1"/>
    <col min="13805" max="13805" width="13.1640625" style="161" bestFit="1" customWidth="1"/>
    <col min="13806" max="14048" width="11.5" style="161"/>
    <col min="14049" max="14049" width="59.83203125" style="161" customWidth="1"/>
    <col min="14050" max="14050" width="5.33203125" style="161" customWidth="1"/>
    <col min="14051" max="14052" width="11.5" style="161"/>
    <col min="14053" max="14053" width="16.1640625" style="161" bestFit="1" customWidth="1"/>
    <col min="14054" max="14054" width="12.83203125" style="161" bestFit="1" customWidth="1"/>
    <col min="14055" max="14055" width="17.33203125" style="161" customWidth="1"/>
    <col min="14056" max="14056" width="10.5" style="161" bestFit="1" customWidth="1"/>
    <col min="14057" max="14057" width="11.5" style="161"/>
    <col min="14058" max="14058" width="11.5" style="161" bestFit="1"/>
    <col min="14059" max="14059" width="12.1640625" style="161" bestFit="1" customWidth="1"/>
    <col min="14060" max="14060" width="11.5" style="161" bestFit="1"/>
    <col min="14061" max="14061" width="13.1640625" style="161" bestFit="1" customWidth="1"/>
    <col min="14062" max="14304" width="11.5" style="161"/>
    <col min="14305" max="14305" width="59.83203125" style="161" customWidth="1"/>
    <col min="14306" max="14306" width="5.33203125" style="161" customWidth="1"/>
    <col min="14307" max="14308" width="11.5" style="161"/>
    <col min="14309" max="14309" width="16.1640625" style="161" bestFit="1" customWidth="1"/>
    <col min="14310" max="14310" width="12.83203125" style="161" bestFit="1" customWidth="1"/>
    <col min="14311" max="14311" width="17.33203125" style="161" customWidth="1"/>
    <col min="14312" max="14312" width="10.5" style="161" bestFit="1" customWidth="1"/>
    <col min="14313" max="14313" width="11.5" style="161"/>
    <col min="14314" max="14314" width="11.5" style="161" bestFit="1"/>
    <col min="14315" max="14315" width="12.1640625" style="161" bestFit="1" customWidth="1"/>
    <col min="14316" max="14316" width="11.5" style="161" bestFit="1"/>
    <col min="14317" max="14317" width="13.1640625" style="161" bestFit="1" customWidth="1"/>
    <col min="14318" max="14560" width="11.5" style="161"/>
    <col min="14561" max="14561" width="59.83203125" style="161" customWidth="1"/>
    <col min="14562" max="14562" width="5.33203125" style="161" customWidth="1"/>
    <col min="14563" max="14564" width="11.5" style="161"/>
    <col min="14565" max="14565" width="16.1640625" style="161" bestFit="1" customWidth="1"/>
    <col min="14566" max="14566" width="12.83203125" style="161" bestFit="1" customWidth="1"/>
    <col min="14567" max="14567" width="17.33203125" style="161" customWidth="1"/>
    <col min="14568" max="14568" width="10.5" style="161" bestFit="1" customWidth="1"/>
    <col min="14569" max="14569" width="11.5" style="161"/>
    <col min="14570" max="14570" width="11.5" style="161" bestFit="1"/>
    <col min="14571" max="14571" width="12.1640625" style="161" bestFit="1" customWidth="1"/>
    <col min="14572" max="14572" width="11.5" style="161" bestFit="1"/>
    <col min="14573" max="14573" width="13.1640625" style="161" bestFit="1" customWidth="1"/>
    <col min="14574" max="14816" width="11.5" style="161"/>
    <col min="14817" max="14817" width="59.83203125" style="161" customWidth="1"/>
    <col min="14818" max="14818" width="5.33203125" style="161" customWidth="1"/>
    <col min="14819" max="14820" width="11.5" style="161"/>
    <col min="14821" max="14821" width="16.1640625" style="161" bestFit="1" customWidth="1"/>
    <col min="14822" max="14822" width="12.83203125" style="161" bestFit="1" customWidth="1"/>
    <col min="14823" max="14823" width="17.33203125" style="161" customWidth="1"/>
    <col min="14824" max="14824" width="10.5" style="161" bestFit="1" customWidth="1"/>
    <col min="14825" max="14825" width="11.5" style="161"/>
    <col min="14826" max="14826" width="11.5" style="161" bestFit="1"/>
    <col min="14827" max="14827" width="12.1640625" style="161" bestFit="1" customWidth="1"/>
    <col min="14828" max="14828" width="11.5" style="161" bestFit="1"/>
    <col min="14829" max="14829" width="13.1640625" style="161" bestFit="1" customWidth="1"/>
    <col min="14830" max="15072" width="11.5" style="161"/>
    <col min="15073" max="15073" width="59.83203125" style="161" customWidth="1"/>
    <col min="15074" max="15074" width="5.33203125" style="161" customWidth="1"/>
    <col min="15075" max="15076" width="11.5" style="161"/>
    <col min="15077" max="15077" width="16.1640625" style="161" bestFit="1" customWidth="1"/>
    <col min="15078" max="15078" width="12.83203125" style="161" bestFit="1" customWidth="1"/>
    <col min="15079" max="15079" width="17.33203125" style="161" customWidth="1"/>
    <col min="15080" max="15080" width="10.5" style="161" bestFit="1" customWidth="1"/>
    <col min="15081" max="15081" width="11.5" style="161"/>
    <col min="15082" max="15082" width="11.5" style="161" bestFit="1"/>
    <col min="15083" max="15083" width="12.1640625" style="161" bestFit="1" customWidth="1"/>
    <col min="15084" max="15084" width="11.5" style="161" bestFit="1"/>
    <col min="15085" max="15085" width="13.1640625" style="161" bestFit="1" customWidth="1"/>
    <col min="15086" max="15328" width="11.5" style="161"/>
    <col min="15329" max="15329" width="59.83203125" style="161" customWidth="1"/>
    <col min="15330" max="15330" width="5.33203125" style="161" customWidth="1"/>
    <col min="15331" max="15332" width="11.5" style="161"/>
    <col min="15333" max="15333" width="16.1640625" style="161" bestFit="1" customWidth="1"/>
    <col min="15334" max="15334" width="12.83203125" style="161" bestFit="1" customWidth="1"/>
    <col min="15335" max="15335" width="17.33203125" style="161" customWidth="1"/>
    <col min="15336" max="15336" width="10.5" style="161" bestFit="1" customWidth="1"/>
    <col min="15337" max="15337" width="11.5" style="161"/>
    <col min="15338" max="15338" width="11.5" style="161" bestFit="1"/>
    <col min="15339" max="15339" width="12.1640625" style="161" bestFit="1" customWidth="1"/>
    <col min="15340" max="15340" width="11.5" style="161" bestFit="1"/>
    <col min="15341" max="15341" width="13.1640625" style="161" bestFit="1" customWidth="1"/>
    <col min="15342" max="15584" width="11.5" style="161"/>
    <col min="15585" max="15585" width="59.83203125" style="161" customWidth="1"/>
    <col min="15586" max="15586" width="5.33203125" style="161" customWidth="1"/>
    <col min="15587" max="15588" width="11.5" style="161"/>
    <col min="15589" max="15589" width="16.1640625" style="161" bestFit="1" customWidth="1"/>
    <col min="15590" max="15590" width="12.83203125" style="161" bestFit="1" customWidth="1"/>
    <col min="15591" max="15591" width="17.33203125" style="161" customWidth="1"/>
    <col min="15592" max="15592" width="10.5" style="161" bestFit="1" customWidth="1"/>
    <col min="15593" max="15593" width="11.5" style="161"/>
    <col min="15594" max="15594" width="11.5" style="161" bestFit="1"/>
    <col min="15595" max="15595" width="12.1640625" style="161" bestFit="1" customWidth="1"/>
    <col min="15596" max="15596" width="11.5" style="161" bestFit="1"/>
    <col min="15597" max="15597" width="13.1640625" style="161" bestFit="1" customWidth="1"/>
    <col min="15598" max="15840" width="11.5" style="161"/>
    <col min="15841" max="15841" width="59.83203125" style="161" customWidth="1"/>
    <col min="15842" max="15842" width="5.33203125" style="161" customWidth="1"/>
    <col min="15843" max="15844" width="11.5" style="161"/>
    <col min="15845" max="15845" width="16.1640625" style="161" bestFit="1" customWidth="1"/>
    <col min="15846" max="15846" width="12.83203125" style="161" bestFit="1" customWidth="1"/>
    <col min="15847" max="15847" width="17.33203125" style="161" customWidth="1"/>
    <col min="15848" max="15848" width="10.5" style="161" bestFit="1" customWidth="1"/>
    <col min="15849" max="15849" width="11.5" style="161"/>
    <col min="15850" max="15850" width="11.5" style="161" bestFit="1"/>
    <col min="15851" max="15851" width="12.1640625" style="161" bestFit="1" customWidth="1"/>
    <col min="15852" max="15852" width="11.5" style="161" bestFit="1"/>
    <col min="15853" max="15853" width="13.1640625" style="161" bestFit="1" customWidth="1"/>
    <col min="15854" max="16096" width="11.5" style="161"/>
    <col min="16097" max="16097" width="59.83203125" style="161" customWidth="1"/>
    <col min="16098" max="16098" width="5.33203125" style="161" customWidth="1"/>
    <col min="16099" max="16100" width="11.5" style="161"/>
    <col min="16101" max="16101" width="16.1640625" style="161" bestFit="1" customWidth="1"/>
    <col min="16102" max="16102" width="12.83203125" style="161" bestFit="1" customWidth="1"/>
    <col min="16103" max="16103" width="17.33203125" style="161" customWidth="1"/>
    <col min="16104" max="16104" width="10.5" style="161" bestFit="1" customWidth="1"/>
    <col min="16105" max="16105" width="11.5" style="161"/>
    <col min="16106" max="16106" width="11.5" style="161" bestFit="1"/>
    <col min="16107" max="16107" width="12.1640625" style="161" bestFit="1" customWidth="1"/>
    <col min="16108" max="16108" width="11.5" style="161" bestFit="1"/>
    <col min="16109" max="16109" width="13.1640625" style="161" bestFit="1" customWidth="1"/>
    <col min="16110" max="16384" width="11.5" style="161"/>
  </cols>
  <sheetData>
    <row r="1" spans="1:5" ht="16.25" customHeight="1" thickBot="1">
      <c r="A1" s="225" t="s">
        <v>79</v>
      </c>
      <c r="B1" s="226"/>
      <c r="C1" s="226"/>
      <c r="D1" s="226"/>
      <c r="E1" s="227"/>
    </row>
    <row r="2" spans="1:5" ht="17" thickBot="1">
      <c r="A2" s="162" t="s">
        <v>80</v>
      </c>
      <c r="B2" s="163" t="s">
        <v>1</v>
      </c>
      <c r="C2" s="164" t="s">
        <v>13</v>
      </c>
      <c r="D2" s="165" t="s">
        <v>81</v>
      </c>
      <c r="E2" s="166"/>
    </row>
    <row r="3" spans="1:5" ht="16">
      <c r="A3" s="167"/>
      <c r="B3" s="168"/>
      <c r="D3" s="170"/>
      <c r="E3" s="171"/>
    </row>
    <row r="4" spans="1:5" ht="17">
      <c r="A4" s="172" t="s">
        <v>79</v>
      </c>
      <c r="B4" s="173"/>
      <c r="C4" s="174"/>
      <c r="D4" s="174"/>
      <c r="E4" s="175"/>
    </row>
    <row r="5" spans="1:5" ht="16">
      <c r="A5" s="176" t="s">
        <v>82</v>
      </c>
      <c r="B5" s="173" t="s">
        <v>6</v>
      </c>
      <c r="C5" s="174"/>
      <c r="D5" s="174"/>
      <c r="E5" s="177">
        <f>ROUND(SUM(E6:E10),0)</f>
        <v>579280</v>
      </c>
    </row>
    <row r="6" spans="1:5" ht="16">
      <c r="A6" s="178" t="s">
        <v>83</v>
      </c>
      <c r="B6" s="173" t="s">
        <v>84</v>
      </c>
      <c r="C6" s="179">
        <v>500</v>
      </c>
      <c r="D6" s="179">
        <v>800</v>
      </c>
      <c r="E6" s="180">
        <f>+C6*D6</f>
        <v>400000</v>
      </c>
    </row>
    <row r="7" spans="1:5" ht="16">
      <c r="A7" s="178" t="s">
        <v>85</v>
      </c>
      <c r="B7" s="173" t="s">
        <v>86</v>
      </c>
      <c r="C7" s="179">
        <v>220</v>
      </c>
      <c r="D7" s="179">
        <v>80</v>
      </c>
      <c r="E7" s="180">
        <f>+C7*D7</f>
        <v>17600</v>
      </c>
    </row>
    <row r="8" spans="1:5" ht="16">
      <c r="A8" s="178" t="s">
        <v>87</v>
      </c>
      <c r="B8" s="173" t="s">
        <v>6</v>
      </c>
      <c r="C8" s="179">
        <v>1.0900000000000001</v>
      </c>
      <c r="D8" s="179">
        <f>[2]INSUMOS!C34</f>
        <v>90000</v>
      </c>
      <c r="E8" s="180">
        <f>+C8*D8</f>
        <v>98100</v>
      </c>
    </row>
    <row r="9" spans="1:5" ht="16">
      <c r="A9" s="178" t="s">
        <v>5</v>
      </c>
      <c r="B9" s="173" t="s">
        <v>88</v>
      </c>
      <c r="C9" s="179">
        <v>0.03</v>
      </c>
      <c r="D9" s="181">
        <f>+E10</f>
        <v>61727.683333333334</v>
      </c>
      <c r="E9" s="182">
        <f>(C9*D9)</f>
        <v>1851.8305</v>
      </c>
    </row>
    <row r="10" spans="1:5" ht="16">
      <c r="A10" s="178" t="s">
        <v>89</v>
      </c>
      <c r="B10" s="173" t="s">
        <v>90</v>
      </c>
      <c r="C10" s="179">
        <v>2</v>
      </c>
      <c r="D10" s="179">
        <f>+[2]MO!C35</f>
        <v>30863.841666666667</v>
      </c>
      <c r="E10" s="180">
        <f>+C10*D10</f>
        <v>61727.683333333334</v>
      </c>
    </row>
    <row r="11" spans="1:5" ht="16">
      <c r="A11" s="176" t="s">
        <v>91</v>
      </c>
      <c r="B11" s="173" t="s">
        <v>6</v>
      </c>
      <c r="C11" s="174"/>
      <c r="D11" s="174"/>
      <c r="E11" s="177">
        <f>ROUND(SUM(E12:E16),0)</f>
        <v>559749</v>
      </c>
    </row>
    <row r="12" spans="1:5" ht="16">
      <c r="A12" s="178" t="s">
        <v>83</v>
      </c>
      <c r="B12" s="173" t="s">
        <v>84</v>
      </c>
      <c r="C12" s="179">
        <v>352</v>
      </c>
      <c r="D12" s="179">
        <v>800</v>
      </c>
      <c r="E12" s="180">
        <f>+C12*D12</f>
        <v>281600</v>
      </c>
    </row>
    <row r="13" spans="1:5" ht="16">
      <c r="A13" s="178" t="s">
        <v>85</v>
      </c>
      <c r="B13" s="173" t="s">
        <v>86</v>
      </c>
      <c r="C13" s="179">
        <v>185</v>
      </c>
      <c r="D13" s="179">
        <v>80</v>
      </c>
      <c r="E13" s="180">
        <f>+C13*D13</f>
        <v>14800</v>
      </c>
    </row>
    <row r="14" spans="1:5" ht="16">
      <c r="A14" s="178" t="s">
        <v>87</v>
      </c>
      <c r="B14" s="173" t="s">
        <v>6</v>
      </c>
      <c r="C14" s="179">
        <v>1.1599999999999999</v>
      </c>
      <c r="D14" s="179">
        <f>[2]INSUMOS!C34</f>
        <v>90000</v>
      </c>
      <c r="E14" s="180">
        <f>+C14*D14</f>
        <v>104400</v>
      </c>
    </row>
    <row r="15" spans="1:5" ht="16">
      <c r="A15" s="178" t="s">
        <v>5</v>
      </c>
      <c r="B15" s="173" t="s">
        <v>88</v>
      </c>
      <c r="C15" s="179">
        <v>0.03</v>
      </c>
      <c r="D15" s="181">
        <f>+E16</f>
        <v>154319.20833333334</v>
      </c>
      <c r="E15" s="182">
        <f>(C15*D15)</f>
        <v>4629.5762500000001</v>
      </c>
    </row>
    <row r="16" spans="1:5" ht="16">
      <c r="A16" s="178" t="s">
        <v>89</v>
      </c>
      <c r="B16" s="173" t="s">
        <v>92</v>
      </c>
      <c r="C16" s="179">
        <v>5</v>
      </c>
      <c r="D16" s="179">
        <f>+[2]MO!C35</f>
        <v>30863.841666666667</v>
      </c>
      <c r="E16" s="180">
        <f>+C16*D16</f>
        <v>154319.20833333334</v>
      </c>
    </row>
    <row r="17" spans="1:5" ht="38.25" hidden="1" customHeight="1">
      <c r="A17" s="172" t="s">
        <v>93</v>
      </c>
      <c r="B17" s="173" t="s">
        <v>6</v>
      </c>
      <c r="C17" s="174"/>
      <c r="D17" s="174"/>
      <c r="E17" s="177">
        <f>ROUND(SUM(E18:E26),0)</f>
        <v>832381</v>
      </c>
    </row>
    <row r="18" spans="1:5" ht="16" hidden="1">
      <c r="A18" s="178" t="s">
        <v>83</v>
      </c>
      <c r="B18" s="173" t="s">
        <v>84</v>
      </c>
      <c r="C18" s="179">
        <v>480</v>
      </c>
      <c r="D18" s="179">
        <f>[2]INSUMOS!C33</f>
        <v>700</v>
      </c>
      <c r="E18" s="180">
        <f t="shared" ref="E18:E24" si="0">+C18*D18</f>
        <v>336000</v>
      </c>
    </row>
    <row r="19" spans="1:5" ht="16" hidden="1">
      <c r="A19" s="178" t="s">
        <v>85</v>
      </c>
      <c r="B19" s="173" t="s">
        <v>86</v>
      </c>
      <c r="C19" s="179">
        <f>8.3*25</f>
        <v>207.50000000000003</v>
      </c>
      <c r="D19" s="179">
        <f>[2]INSUMOS!C12</f>
        <v>60</v>
      </c>
      <c r="E19" s="180">
        <f t="shared" si="0"/>
        <v>12450.000000000002</v>
      </c>
    </row>
    <row r="20" spans="1:5" ht="16" hidden="1">
      <c r="A20" s="178" t="s">
        <v>94</v>
      </c>
      <c r="B20" s="173" t="s">
        <v>6</v>
      </c>
      <c r="C20" s="179">
        <f>0.488</f>
        <v>0.48799999999999999</v>
      </c>
      <c r="D20" s="179">
        <f>[2]INSUMOS!C34</f>
        <v>90000</v>
      </c>
      <c r="E20" s="180">
        <f>+C20*D20</f>
        <v>43920</v>
      </c>
    </row>
    <row r="21" spans="1:5" ht="16" hidden="1">
      <c r="A21" s="178" t="s">
        <v>95</v>
      </c>
      <c r="B21" s="183" t="s">
        <v>96</v>
      </c>
      <c r="C21" s="179">
        <f>+C20*'[2]DISTANCIA DE ACARREO '!F9</f>
        <v>12.687999999999999</v>
      </c>
      <c r="D21" s="179">
        <v>1300</v>
      </c>
      <c r="E21" s="180">
        <f>+C21*D21</f>
        <v>16494.399999999998</v>
      </c>
    </row>
    <row r="22" spans="1:5" ht="16" hidden="1">
      <c r="A22" s="178" t="s">
        <v>97</v>
      </c>
      <c r="B22" s="173" t="s">
        <v>6</v>
      </c>
      <c r="C22" s="179">
        <f>0.772</f>
        <v>0.77200000000000002</v>
      </c>
      <c r="D22" s="179">
        <f>[2]INSUMOS!C35</f>
        <v>105000</v>
      </c>
      <c r="E22" s="180">
        <f>+C22*D22</f>
        <v>81060</v>
      </c>
    </row>
    <row r="23" spans="1:5" ht="16" hidden="1">
      <c r="A23" s="178" t="s">
        <v>98</v>
      </c>
      <c r="B23" s="183" t="s">
        <v>96</v>
      </c>
      <c r="C23" s="179">
        <f>+C22*'[2]DISTANCIA DE ACARREO '!F10</f>
        <v>142.048</v>
      </c>
      <c r="D23" s="179">
        <v>1300</v>
      </c>
      <c r="E23" s="180">
        <f>+C23*D23</f>
        <v>184662.39999999999</v>
      </c>
    </row>
    <row r="24" spans="1:5" ht="16" hidden="1">
      <c r="A24" s="178" t="s">
        <v>99</v>
      </c>
      <c r="B24" s="173" t="s">
        <v>88</v>
      </c>
      <c r="C24" s="179">
        <v>0.118974</v>
      </c>
      <c r="D24" s="179">
        <v>120000</v>
      </c>
      <c r="E24" s="180">
        <f t="shared" si="0"/>
        <v>14276.88</v>
      </c>
    </row>
    <row r="25" spans="1:5" ht="16" hidden="1">
      <c r="A25" s="178" t="s">
        <v>5</v>
      </c>
      <c r="B25" s="173" t="s">
        <v>88</v>
      </c>
      <c r="C25" s="179">
        <v>0.03</v>
      </c>
      <c r="D25" s="181">
        <f>D15</f>
        <v>154319.20833333334</v>
      </c>
      <c r="E25" s="182">
        <f>(C25*D25)</f>
        <v>4629.5762500000001</v>
      </c>
    </row>
    <row r="26" spans="1:5" ht="16" hidden="1">
      <c r="A26" s="178" t="s">
        <v>89</v>
      </c>
      <c r="B26" s="173" t="s">
        <v>92</v>
      </c>
      <c r="C26" s="179">
        <v>4.5</v>
      </c>
      <c r="D26" s="179">
        <f>D16</f>
        <v>30863.841666666667</v>
      </c>
      <c r="E26" s="180">
        <f>+C26*D26</f>
        <v>138887.28750000001</v>
      </c>
    </row>
    <row r="27" spans="1:5" ht="17">
      <c r="A27" s="172" t="s">
        <v>100</v>
      </c>
      <c r="B27" s="173" t="s">
        <v>6</v>
      </c>
      <c r="C27" s="174"/>
      <c r="D27" s="174"/>
      <c r="E27" s="177">
        <f>ROUND(SUM(E28:E36),0)</f>
        <v>825463</v>
      </c>
    </row>
    <row r="28" spans="1:5" ht="16">
      <c r="A28" s="178" t="s">
        <v>83</v>
      </c>
      <c r="B28" s="173" t="s">
        <v>84</v>
      </c>
      <c r="C28" s="179">
        <v>350</v>
      </c>
      <c r="D28" s="179">
        <v>800</v>
      </c>
      <c r="E28" s="180">
        <f t="shared" ref="E28:E34" si="1">+C28*D28</f>
        <v>280000</v>
      </c>
    </row>
    <row r="29" spans="1:5" ht="16">
      <c r="A29" s="178" t="s">
        <v>85</v>
      </c>
      <c r="B29" s="173" t="s">
        <v>86</v>
      </c>
      <c r="C29" s="179">
        <v>180</v>
      </c>
      <c r="D29" s="179">
        <v>80</v>
      </c>
      <c r="E29" s="180">
        <f t="shared" si="1"/>
        <v>14400</v>
      </c>
    </row>
    <row r="30" spans="1:5" ht="16">
      <c r="A30" s="178" t="s">
        <v>94</v>
      </c>
      <c r="B30" s="173" t="s">
        <v>6</v>
      </c>
      <c r="C30" s="179">
        <v>0.55500000000000005</v>
      </c>
      <c r="D30" s="179">
        <f>[2]INSUMOS!C34</f>
        <v>90000</v>
      </c>
      <c r="E30" s="180">
        <f t="shared" si="1"/>
        <v>49950.000000000007</v>
      </c>
    </row>
    <row r="31" spans="1:5" ht="16">
      <c r="A31" s="178" t="s">
        <v>101</v>
      </c>
      <c r="B31" s="183" t="s">
        <v>96</v>
      </c>
      <c r="C31" s="179">
        <f>+C30*'[2]DISTANCIA DE ACARREO '!F9</f>
        <v>14.430000000000001</v>
      </c>
      <c r="D31" s="179">
        <v>1300</v>
      </c>
      <c r="E31" s="180">
        <f t="shared" si="1"/>
        <v>18759.000000000004</v>
      </c>
    </row>
    <row r="32" spans="1:5" ht="26.25" customHeight="1">
      <c r="A32" s="178" t="s">
        <v>97</v>
      </c>
      <c r="B32" s="173" t="s">
        <v>6</v>
      </c>
      <c r="C32" s="179">
        <v>0.84</v>
      </c>
      <c r="D32" s="179">
        <f>[2]INSUMOS!C35</f>
        <v>105000</v>
      </c>
      <c r="E32" s="180">
        <f t="shared" si="1"/>
        <v>88200</v>
      </c>
    </row>
    <row r="33" spans="1:5" ht="26.25" customHeight="1">
      <c r="A33" s="178" t="s">
        <v>102</v>
      </c>
      <c r="B33" s="183" t="s">
        <v>96</v>
      </c>
      <c r="C33" s="179">
        <f>+C32*'[2]DISTANCIA DE ACARREO '!F10</f>
        <v>154.56</v>
      </c>
      <c r="D33" s="179">
        <v>1300</v>
      </c>
      <c r="E33" s="180">
        <f t="shared" si="1"/>
        <v>200928</v>
      </c>
    </row>
    <row r="34" spans="1:5" ht="16">
      <c r="A34" s="178" t="s">
        <v>99</v>
      </c>
      <c r="B34" s="173" t="s">
        <v>88</v>
      </c>
      <c r="C34" s="179">
        <v>0.118974</v>
      </c>
      <c r="D34" s="179">
        <f>+D24</f>
        <v>120000</v>
      </c>
      <c r="E34" s="180">
        <f t="shared" si="1"/>
        <v>14276.88</v>
      </c>
    </row>
    <row r="35" spans="1:5" ht="16">
      <c r="A35" s="178" t="s">
        <v>5</v>
      </c>
      <c r="B35" s="173" t="s">
        <v>88</v>
      </c>
      <c r="C35" s="179">
        <v>0.03</v>
      </c>
      <c r="D35" s="181">
        <f>+E36</f>
        <v>154319.20833333334</v>
      </c>
      <c r="E35" s="182">
        <f>(C35*D35)</f>
        <v>4629.5762500000001</v>
      </c>
    </row>
    <row r="36" spans="1:5" ht="16">
      <c r="A36" s="178" t="s">
        <v>89</v>
      </c>
      <c r="B36" s="173" t="s">
        <v>92</v>
      </c>
      <c r="C36" s="179">
        <v>5</v>
      </c>
      <c r="D36" s="179">
        <f>+[2]MO!C35</f>
        <v>30863.841666666667</v>
      </c>
      <c r="E36" s="180">
        <f>+C36*D36</f>
        <v>154319.20833333334</v>
      </c>
    </row>
    <row r="37" spans="1:5" ht="17">
      <c r="A37" s="172" t="s">
        <v>103</v>
      </c>
      <c r="B37" s="173" t="s">
        <v>6</v>
      </c>
      <c r="C37" s="174"/>
      <c r="D37" s="174"/>
      <c r="E37" s="177">
        <f>ROUND(SUM(E38:E46),0)</f>
        <v>753820</v>
      </c>
    </row>
    <row r="38" spans="1:5" ht="16">
      <c r="A38" s="178" t="s">
        <v>83</v>
      </c>
      <c r="B38" s="173" t="s">
        <v>84</v>
      </c>
      <c r="C38" s="179">
        <v>230</v>
      </c>
      <c r="D38" s="179">
        <f>D28</f>
        <v>800</v>
      </c>
      <c r="E38" s="180">
        <f t="shared" ref="E38:E44" si="2">+C38*D38</f>
        <v>184000</v>
      </c>
    </row>
    <row r="39" spans="1:5" ht="16">
      <c r="A39" s="178" t="s">
        <v>85</v>
      </c>
      <c r="B39" s="173" t="s">
        <v>86</v>
      </c>
      <c r="C39" s="179">
        <v>148</v>
      </c>
      <c r="D39" s="179">
        <f>D29</f>
        <v>80</v>
      </c>
      <c r="E39" s="180">
        <f t="shared" si="2"/>
        <v>11840</v>
      </c>
    </row>
    <row r="40" spans="1:5" ht="16">
      <c r="A40" s="178" t="s">
        <v>94</v>
      </c>
      <c r="B40" s="173" t="s">
        <v>6</v>
      </c>
      <c r="C40" s="179">
        <v>0.55000000000000004</v>
      </c>
      <c r="D40" s="179">
        <f t="shared" ref="D40:D46" si="3">D30</f>
        <v>90000</v>
      </c>
      <c r="E40" s="180">
        <f t="shared" si="2"/>
        <v>49500.000000000007</v>
      </c>
    </row>
    <row r="41" spans="1:5" ht="16">
      <c r="A41" s="178" t="s">
        <v>101</v>
      </c>
      <c r="B41" s="183" t="s">
        <v>96</v>
      </c>
      <c r="C41" s="179">
        <f>+C40*'[2]DISTANCIA DE ACARREO '!F9</f>
        <v>14.3</v>
      </c>
      <c r="D41" s="179">
        <f t="shared" si="3"/>
        <v>1300</v>
      </c>
      <c r="E41" s="180">
        <f t="shared" si="2"/>
        <v>18590</v>
      </c>
    </row>
    <row r="42" spans="1:5" ht="26.25" customHeight="1">
      <c r="A42" s="178" t="s">
        <v>97</v>
      </c>
      <c r="B42" s="173" t="s">
        <v>6</v>
      </c>
      <c r="C42" s="179">
        <v>0.92</v>
      </c>
      <c r="D42" s="179">
        <f t="shared" si="3"/>
        <v>105000</v>
      </c>
      <c r="E42" s="180">
        <f t="shared" si="2"/>
        <v>96600</v>
      </c>
    </row>
    <row r="43" spans="1:5" ht="26.25" customHeight="1">
      <c r="A43" s="178" t="s">
        <v>98</v>
      </c>
      <c r="B43" s="183" t="s">
        <v>96</v>
      </c>
      <c r="C43" s="179">
        <f>+C42*'[2]DISTANCIA DE ACARREO '!F10</f>
        <v>169.28</v>
      </c>
      <c r="D43" s="179">
        <f t="shared" si="3"/>
        <v>1300</v>
      </c>
      <c r="E43" s="180">
        <f t="shared" si="2"/>
        <v>220064</v>
      </c>
    </row>
    <row r="44" spans="1:5" ht="16">
      <c r="A44" s="178" t="s">
        <v>99</v>
      </c>
      <c r="B44" s="173" t="s">
        <v>88</v>
      </c>
      <c r="C44" s="179">
        <v>0.118974</v>
      </c>
      <c r="D44" s="179">
        <f>D34</f>
        <v>120000</v>
      </c>
      <c r="E44" s="180">
        <f t="shared" si="2"/>
        <v>14276.88</v>
      </c>
    </row>
    <row r="45" spans="1:5" ht="16">
      <c r="A45" s="178" t="s">
        <v>5</v>
      </c>
      <c r="B45" s="173" t="s">
        <v>88</v>
      </c>
      <c r="C45" s="179">
        <v>0.03</v>
      </c>
      <c r="D45" s="179">
        <f t="shared" si="3"/>
        <v>154319.20833333334</v>
      </c>
      <c r="E45" s="182">
        <f>(C45*D45)</f>
        <v>4629.5762500000001</v>
      </c>
    </row>
    <row r="46" spans="1:5" ht="16">
      <c r="A46" s="178" t="s">
        <v>89</v>
      </c>
      <c r="B46" s="173" t="s">
        <v>92</v>
      </c>
      <c r="C46" s="179">
        <v>5</v>
      </c>
      <c r="D46" s="179">
        <f t="shared" si="3"/>
        <v>30863.841666666667</v>
      </c>
      <c r="E46" s="180">
        <f>+C46*D46</f>
        <v>154319.20833333334</v>
      </c>
    </row>
    <row r="47" spans="1:5" ht="17">
      <c r="A47" s="172" t="s">
        <v>93</v>
      </c>
      <c r="B47" s="173" t="s">
        <v>6</v>
      </c>
      <c r="C47" s="174"/>
      <c r="D47" s="174"/>
      <c r="E47" s="177">
        <f>SUM(E48:E56)</f>
        <v>944636.3861773333</v>
      </c>
    </row>
    <row r="48" spans="1:5">
      <c r="A48" s="184" t="s">
        <v>83</v>
      </c>
      <c r="B48" s="185" t="s">
        <v>84</v>
      </c>
      <c r="C48" s="174">
        <v>480</v>
      </c>
      <c r="D48" s="174">
        <f t="shared" ref="D48:D53" si="4">+D38</f>
        <v>800</v>
      </c>
      <c r="E48" s="174">
        <v>288000</v>
      </c>
    </row>
    <row r="49" spans="1:5">
      <c r="A49" s="184" t="s">
        <v>85</v>
      </c>
      <c r="B49" s="185" t="s">
        <v>86</v>
      </c>
      <c r="C49" s="174">
        <v>180</v>
      </c>
      <c r="D49" s="174">
        <f t="shared" si="4"/>
        <v>80</v>
      </c>
      <c r="E49" s="174">
        <v>27000</v>
      </c>
    </row>
    <row r="50" spans="1:5">
      <c r="A50" s="184" t="s">
        <v>94</v>
      </c>
      <c r="B50" s="185" t="s">
        <v>6</v>
      </c>
      <c r="C50" s="174">
        <v>0.6</v>
      </c>
      <c r="D50" s="174">
        <f t="shared" si="4"/>
        <v>90000</v>
      </c>
      <c r="E50" s="174">
        <v>45000</v>
      </c>
    </row>
    <row r="51" spans="1:5">
      <c r="A51" s="184" t="s">
        <v>104</v>
      </c>
      <c r="B51" s="185" t="s">
        <v>96</v>
      </c>
      <c r="C51" s="174">
        <v>35.82</v>
      </c>
      <c r="D51" s="174">
        <f t="shared" si="4"/>
        <v>1300</v>
      </c>
      <c r="E51" s="174">
        <v>41193</v>
      </c>
    </row>
    <row r="52" spans="1:5">
      <c r="A52" s="184" t="s">
        <v>97</v>
      </c>
      <c r="B52" s="185" t="s">
        <v>6</v>
      </c>
      <c r="C52" s="174">
        <v>0.77</v>
      </c>
      <c r="D52" s="174">
        <f t="shared" si="4"/>
        <v>105000</v>
      </c>
      <c r="E52" s="174">
        <v>84700</v>
      </c>
    </row>
    <row r="53" spans="1:5">
      <c r="A53" s="184" t="s">
        <v>98</v>
      </c>
      <c r="B53" s="185" t="s">
        <v>96</v>
      </c>
      <c r="C53" s="174">
        <v>107.8</v>
      </c>
      <c r="D53" s="174">
        <f t="shared" si="4"/>
        <v>1300</v>
      </c>
      <c r="E53" s="174">
        <v>123970</v>
      </c>
    </row>
    <row r="54" spans="1:5">
      <c r="A54" s="184" t="s">
        <v>105</v>
      </c>
      <c r="B54" s="185" t="s">
        <v>88</v>
      </c>
      <c r="C54" s="174">
        <v>0.12</v>
      </c>
      <c r="D54" s="174">
        <v>120000</v>
      </c>
      <c r="E54" s="174">
        <v>14400</v>
      </c>
    </row>
    <row r="55" spans="1:5">
      <c r="A55" s="184" t="s">
        <v>106</v>
      </c>
      <c r="B55" s="185" t="s">
        <v>4</v>
      </c>
      <c r="C55" s="174">
        <v>0.1</v>
      </c>
      <c r="D55" s="174">
        <f>+D45</f>
        <v>154319.20833333334</v>
      </c>
      <c r="E55" s="179">
        <f>+C55*D55</f>
        <v>15431.920833333335</v>
      </c>
    </row>
    <row r="56" spans="1:5">
      <c r="A56" s="184" t="s">
        <v>107</v>
      </c>
      <c r="B56" s="185" t="s">
        <v>72</v>
      </c>
      <c r="C56" s="174">
        <v>0.3</v>
      </c>
      <c r="D56" s="174">
        <v>1016471.5511466668</v>
      </c>
      <c r="E56" s="179">
        <f>+C56*D56</f>
        <v>304941.46534400003</v>
      </c>
    </row>
  </sheetData>
  <mergeCells count="1">
    <mergeCell ref="A1:E1"/>
  </mergeCells>
  <pageMargins left="0.7" right="0.7" top="0.75" bottom="0.75" header="0.3" footer="0.3"/>
  <pageSetup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B2D09-03EE-D24E-AF27-619CCEC1C691}">
  <sheetPr>
    <pageSetUpPr fitToPage="1"/>
  </sheetPr>
  <dimension ref="A1:F26"/>
  <sheetViews>
    <sheetView tabSelected="1" view="pageBreakPreview" zoomScaleNormal="100" zoomScaleSheetLayoutView="100" workbookViewId="0">
      <selection activeCell="B4" sqref="B4"/>
    </sheetView>
  </sheetViews>
  <sheetFormatPr baseColWidth="10" defaultRowHeight="15"/>
  <cols>
    <col min="1" max="1" width="8.5" customWidth="1"/>
    <col min="2" max="2" width="92.83203125" bestFit="1" customWidth="1"/>
    <col min="3" max="3" width="5.6640625" customWidth="1"/>
    <col min="4" max="4" width="7.33203125" bestFit="1" customWidth="1"/>
    <col min="5" max="5" width="15.1640625" bestFit="1" customWidth="1"/>
    <col min="6" max="6" width="15.5" bestFit="1" customWidth="1"/>
  </cols>
  <sheetData>
    <row r="1" spans="1:6" ht="19">
      <c r="A1" s="228" t="s">
        <v>8</v>
      </c>
      <c r="B1" s="228"/>
      <c r="C1" s="228"/>
      <c r="D1" s="228"/>
      <c r="E1" s="228"/>
      <c r="F1" s="228"/>
    </row>
    <row r="2" spans="1:6">
      <c r="A2" s="229"/>
      <c r="B2" s="230"/>
      <c r="C2" s="230"/>
      <c r="D2" s="230"/>
      <c r="E2" s="230"/>
      <c r="F2" s="230"/>
    </row>
    <row r="3" spans="1:6" ht="16">
      <c r="A3" s="1" t="s">
        <v>9</v>
      </c>
      <c r="B3" s="218" t="s">
        <v>126</v>
      </c>
      <c r="C3" s="2"/>
      <c r="D3" s="2"/>
      <c r="E3" s="2"/>
      <c r="F3" s="3"/>
    </row>
    <row r="4" spans="1:6" ht="16">
      <c r="A4" s="1" t="s">
        <v>10</v>
      </c>
      <c r="B4" s="256" t="s">
        <v>128</v>
      </c>
      <c r="C4" s="2"/>
      <c r="D4" s="2"/>
      <c r="E4" s="2"/>
      <c r="F4" s="3"/>
    </row>
    <row r="5" spans="1:6" ht="34" customHeight="1">
      <c r="A5" s="4" t="s">
        <v>11</v>
      </c>
      <c r="B5" s="255" t="s">
        <v>125</v>
      </c>
      <c r="C5" s="231"/>
      <c r="D5" s="231"/>
      <c r="E5" s="231"/>
      <c r="F5" s="232"/>
    </row>
    <row r="6" spans="1:6" ht="16">
      <c r="A6" s="4"/>
      <c r="B6" s="5"/>
      <c r="C6" s="6"/>
      <c r="D6" s="6"/>
      <c r="E6" s="6"/>
      <c r="F6" s="7"/>
    </row>
    <row r="7" spans="1:6" ht="16">
      <c r="A7" s="8" t="s">
        <v>0</v>
      </c>
      <c r="B7" s="9" t="s">
        <v>12</v>
      </c>
      <c r="C7" s="9" t="s">
        <v>1</v>
      </c>
      <c r="D7" s="9" t="s">
        <v>13</v>
      </c>
      <c r="E7" s="9" t="s">
        <v>2</v>
      </c>
      <c r="F7" s="9" t="s">
        <v>14</v>
      </c>
    </row>
    <row r="8" spans="1:6" ht="17">
      <c r="A8" s="10">
        <v>1</v>
      </c>
      <c r="B8" s="208" t="s">
        <v>110</v>
      </c>
      <c r="C8" s="10" t="s">
        <v>1</v>
      </c>
      <c r="D8" s="11">
        <v>132</v>
      </c>
      <c r="E8" s="12">
        <f>ROUND(APUS!H42,0)</f>
        <v>148668</v>
      </c>
      <c r="F8" s="12">
        <f>+D8*E8</f>
        <v>19624176</v>
      </c>
    </row>
    <row r="9" spans="1:6" ht="34">
      <c r="A9" s="10">
        <f>+A8+1</f>
        <v>2</v>
      </c>
      <c r="B9" s="211" t="s">
        <v>111</v>
      </c>
      <c r="C9" s="212" t="s">
        <v>1</v>
      </c>
      <c r="D9" s="11">
        <v>71</v>
      </c>
      <c r="E9" s="210">
        <f>ROUND(APUS!H86,0)</f>
        <v>158668</v>
      </c>
      <c r="F9" s="210">
        <f t="shared" ref="F9:F11" si="0">+D9*E9</f>
        <v>11265428</v>
      </c>
    </row>
    <row r="10" spans="1:6" ht="16">
      <c r="A10" s="13">
        <f t="shared" ref="A10:A11" si="1">+A9+1</f>
        <v>3</v>
      </c>
      <c r="B10" s="209" t="s">
        <v>108</v>
      </c>
      <c r="C10" s="213" t="s">
        <v>109</v>
      </c>
      <c r="D10" s="15">
        <v>1</v>
      </c>
      <c r="E10" s="16">
        <f>+ROUND(APUS!H130,0)</f>
        <v>3860000</v>
      </c>
      <c r="F10" s="12">
        <f t="shared" si="0"/>
        <v>3860000</v>
      </c>
    </row>
    <row r="11" spans="1:6" ht="16">
      <c r="A11" s="13">
        <f t="shared" si="1"/>
        <v>4</v>
      </c>
      <c r="B11" s="209" t="s">
        <v>112</v>
      </c>
      <c r="C11" s="213" t="s">
        <v>113</v>
      </c>
      <c r="D11" s="15">
        <v>35</v>
      </c>
      <c r="E11" s="16">
        <f>+ROUND(APUS!H174,0)</f>
        <v>92566</v>
      </c>
      <c r="F11" s="12">
        <f t="shared" si="0"/>
        <v>3239810</v>
      </c>
    </row>
    <row r="12" spans="1:6" ht="16">
      <c r="A12" s="13"/>
      <c r="B12" s="17" t="s">
        <v>15</v>
      </c>
      <c r="C12" s="14"/>
      <c r="D12" s="13"/>
      <c r="E12" s="18"/>
      <c r="F12" s="19">
        <f>SUM(F8:F11)</f>
        <v>37989414</v>
      </c>
    </row>
    <row r="13" spans="1:6" ht="16">
      <c r="A13" s="13"/>
      <c r="B13" s="14"/>
      <c r="C13" s="14"/>
      <c r="D13" s="13"/>
      <c r="E13" s="18"/>
      <c r="F13" s="18"/>
    </row>
    <row r="14" spans="1:6" ht="16">
      <c r="A14" s="13"/>
      <c r="B14" s="14" t="s">
        <v>16</v>
      </c>
      <c r="C14" s="14"/>
      <c r="D14" s="20">
        <v>0.24</v>
      </c>
      <c r="E14" s="18"/>
      <c r="F14" s="18">
        <f>+F12*D14</f>
        <v>9117459.3599999994</v>
      </c>
    </row>
    <row r="15" spans="1:6" ht="16">
      <c r="A15" s="13"/>
      <c r="B15" s="14" t="s">
        <v>17</v>
      </c>
      <c r="C15" s="14"/>
      <c r="D15" s="20">
        <v>0.01</v>
      </c>
      <c r="E15" s="18"/>
      <c r="F15" s="18">
        <f>+F12*D15</f>
        <v>379894.14</v>
      </c>
    </row>
    <row r="16" spans="1:6" ht="16">
      <c r="A16" s="13"/>
      <c r="B16" s="14" t="s">
        <v>18</v>
      </c>
      <c r="C16" s="14"/>
      <c r="D16" s="20">
        <v>0.04</v>
      </c>
      <c r="E16" s="18"/>
      <c r="F16" s="18">
        <f>+F12*D16</f>
        <v>1519576.56</v>
      </c>
    </row>
    <row r="17" spans="1:6" ht="16">
      <c r="A17" s="13"/>
      <c r="B17" s="14" t="s">
        <v>19</v>
      </c>
      <c r="C17" s="14"/>
      <c r="D17" s="20"/>
      <c r="E17" s="18"/>
      <c r="F17" s="19">
        <f>SUM(F14:F16)</f>
        <v>11016930.060000001</v>
      </c>
    </row>
    <row r="18" spans="1:6" ht="16">
      <c r="A18" s="13"/>
      <c r="B18" s="14"/>
      <c r="C18" s="14"/>
      <c r="D18" s="13"/>
      <c r="E18" s="18"/>
      <c r="F18" s="18"/>
    </row>
    <row r="19" spans="1:6" ht="16">
      <c r="A19" s="13"/>
      <c r="B19" s="21" t="s">
        <v>7</v>
      </c>
      <c r="C19" s="21"/>
      <c r="D19" s="22"/>
      <c r="E19" s="23"/>
      <c r="F19" s="24">
        <f>+F17+F12</f>
        <v>49006344.060000002</v>
      </c>
    </row>
    <row r="25" spans="1:6">
      <c r="A25" s="25" t="s">
        <v>20</v>
      </c>
    </row>
    <row r="26" spans="1:6">
      <c r="A26" t="s">
        <v>21</v>
      </c>
    </row>
  </sheetData>
  <mergeCells count="3">
    <mergeCell ref="A1:F1"/>
    <mergeCell ref="A2:F2"/>
    <mergeCell ref="B5:F5"/>
  </mergeCells>
  <pageMargins left="0.7" right="0.7" top="0.75" bottom="0.75" header="0.3" footer="0.3"/>
  <pageSetup scale="79" orientation="landscape"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CD47C-D5A3-C34F-99F5-0C843159498B}">
  <dimension ref="A1:H175"/>
  <sheetViews>
    <sheetView workbookViewId="0">
      <selection activeCell="E107" sqref="E107"/>
    </sheetView>
  </sheetViews>
  <sheetFormatPr baseColWidth="10" defaultColWidth="11.5" defaultRowHeight="13"/>
  <cols>
    <col min="1" max="1" width="11.5" style="47"/>
    <col min="2" max="2" width="38.5" style="47" customWidth="1"/>
    <col min="3" max="3" width="16.33203125" style="47" customWidth="1"/>
    <col min="4" max="4" width="9.5" style="47" bestFit="1" customWidth="1"/>
    <col min="5" max="5" width="13.5" style="47" bestFit="1" customWidth="1"/>
    <col min="6" max="6" width="13.33203125" style="47" customWidth="1"/>
    <col min="7" max="7" width="15.6640625" style="47" bestFit="1" customWidth="1"/>
    <col min="8" max="8" width="15.83203125" style="47" bestFit="1" customWidth="1"/>
    <col min="9" max="252" width="9.1640625" style="47" customWidth="1"/>
    <col min="253" max="16384" width="11.5" style="47"/>
  </cols>
  <sheetData>
    <row r="1" spans="1:8" ht="23.25" customHeight="1" thickBot="1">
      <c r="A1" s="46"/>
      <c r="B1" s="235" t="s">
        <v>3</v>
      </c>
      <c r="C1" s="236"/>
      <c r="D1" s="236"/>
      <c r="E1" s="236"/>
      <c r="F1" s="236"/>
      <c r="G1" s="236"/>
      <c r="H1" s="237"/>
    </row>
    <row r="2" spans="1:8" ht="14" thickBot="1">
      <c r="A2" s="48"/>
      <c r="B2" s="49"/>
      <c r="C2" s="50"/>
      <c r="D2" s="51"/>
      <c r="E2" s="51"/>
      <c r="F2" s="52"/>
      <c r="G2" s="50"/>
      <c r="H2" s="53"/>
    </row>
    <row r="3" spans="1:8">
      <c r="A3" s="48"/>
      <c r="B3" s="54" t="s">
        <v>121</v>
      </c>
      <c r="C3" s="55"/>
      <c r="D3" s="56"/>
      <c r="E3" s="56"/>
      <c r="F3" s="57"/>
      <c r="G3" s="58" t="s">
        <v>49</v>
      </c>
      <c r="H3" s="59" t="s">
        <v>1</v>
      </c>
    </row>
    <row r="4" spans="1:8">
      <c r="A4" s="48"/>
      <c r="B4" s="60"/>
      <c r="C4" s="61"/>
      <c r="F4" s="62"/>
      <c r="H4" s="63"/>
    </row>
    <row r="5" spans="1:8" ht="42">
      <c r="A5" s="48"/>
      <c r="B5" s="108" t="s">
        <v>114</v>
      </c>
      <c r="C5" s="238"/>
      <c r="D5" s="238"/>
      <c r="E5" s="238"/>
      <c r="F5" s="238"/>
      <c r="G5" s="238"/>
      <c r="H5" s="239"/>
    </row>
    <row r="6" spans="1:8">
      <c r="A6" s="48"/>
      <c r="B6" s="48"/>
      <c r="F6" s="62"/>
      <c r="H6" s="63"/>
    </row>
    <row r="7" spans="1:8">
      <c r="A7" s="48"/>
      <c r="B7" s="60" t="s">
        <v>50</v>
      </c>
      <c r="C7" s="61"/>
      <c r="F7" s="62"/>
      <c r="H7" s="63"/>
    </row>
    <row r="8" spans="1:8">
      <c r="A8" s="48"/>
      <c r="B8" s="64" t="s">
        <v>51</v>
      </c>
      <c r="C8" s="65"/>
      <c r="D8" s="65"/>
      <c r="F8" s="62"/>
      <c r="H8" s="63"/>
    </row>
    <row r="9" spans="1:8">
      <c r="A9" s="48"/>
      <c r="B9" s="240" t="s">
        <v>52</v>
      </c>
      <c r="C9" s="241"/>
      <c r="D9" s="66" t="s">
        <v>53</v>
      </c>
      <c r="E9" s="66" t="s">
        <v>54</v>
      </c>
      <c r="F9" s="66" t="s">
        <v>55</v>
      </c>
      <c r="G9" s="66" t="s">
        <v>56</v>
      </c>
      <c r="H9" s="67" t="s">
        <v>57</v>
      </c>
    </row>
    <row r="10" spans="1:8">
      <c r="A10" s="48"/>
      <c r="B10" s="233" t="s">
        <v>78</v>
      </c>
      <c r="C10" s="234"/>
      <c r="D10" s="68"/>
      <c r="E10" s="69"/>
      <c r="F10" s="70"/>
      <c r="G10" s="71">
        <v>5807.33</v>
      </c>
      <c r="H10" s="72"/>
    </row>
    <row r="11" spans="1:8">
      <c r="A11" s="48"/>
      <c r="B11" s="233"/>
      <c r="C11" s="234"/>
      <c r="D11" s="73"/>
      <c r="E11" s="69"/>
      <c r="F11" s="74"/>
      <c r="G11" s="71">
        <f t="shared" ref="G11:G14" si="0">IF(E11=0,0,E11/F11)</f>
        <v>0</v>
      </c>
      <c r="H11" s="72"/>
    </row>
    <row r="12" spans="1:8">
      <c r="A12" s="48"/>
      <c r="B12" s="233"/>
      <c r="C12" s="234"/>
      <c r="D12" s="73"/>
      <c r="E12" s="69"/>
      <c r="F12" s="74"/>
      <c r="G12" s="71">
        <f t="shared" si="0"/>
        <v>0</v>
      </c>
      <c r="H12" s="72"/>
    </row>
    <row r="13" spans="1:8">
      <c r="A13" s="48"/>
      <c r="B13" s="233"/>
      <c r="C13" s="234"/>
      <c r="D13" s="73"/>
      <c r="E13" s="69"/>
      <c r="F13" s="74"/>
      <c r="G13" s="71">
        <f t="shared" si="0"/>
        <v>0</v>
      </c>
      <c r="H13" s="72"/>
    </row>
    <row r="14" spans="1:8">
      <c r="A14" s="48"/>
      <c r="B14" s="233"/>
      <c r="C14" s="234"/>
      <c r="D14" s="73"/>
      <c r="E14" s="69"/>
      <c r="F14" s="74"/>
      <c r="G14" s="71">
        <f t="shared" si="0"/>
        <v>0</v>
      </c>
      <c r="H14" s="72"/>
    </row>
    <row r="15" spans="1:8">
      <c r="A15" s="48"/>
      <c r="B15" s="48"/>
      <c r="E15" s="75"/>
      <c r="F15" s="62"/>
      <c r="G15" s="76" t="s">
        <v>58</v>
      </c>
      <c r="H15" s="77">
        <f>SUM(G10:G14)</f>
        <v>5807.33</v>
      </c>
    </row>
    <row r="16" spans="1:8">
      <c r="A16" s="48"/>
      <c r="B16" s="78" t="s">
        <v>59</v>
      </c>
      <c r="C16" s="79"/>
      <c r="D16" s="79"/>
      <c r="E16" s="75"/>
      <c r="F16" s="62"/>
      <c r="G16" s="80"/>
      <c r="H16" s="81"/>
    </row>
    <row r="17" spans="1:8">
      <c r="A17" s="48"/>
      <c r="B17" s="240" t="s">
        <v>52</v>
      </c>
      <c r="C17" s="241"/>
      <c r="D17" s="66" t="s">
        <v>60</v>
      </c>
      <c r="E17" s="66" t="s">
        <v>61</v>
      </c>
      <c r="F17" s="66" t="s">
        <v>62</v>
      </c>
      <c r="G17" s="66" t="s">
        <v>56</v>
      </c>
      <c r="H17" s="82"/>
    </row>
    <row r="18" spans="1:8">
      <c r="A18" s="48"/>
      <c r="B18" s="233"/>
      <c r="C18" s="234"/>
      <c r="D18" s="83"/>
      <c r="E18" s="69"/>
      <c r="F18" s="74"/>
      <c r="G18" s="71">
        <f>E18*F18</f>
        <v>0</v>
      </c>
      <c r="H18" s="82"/>
    </row>
    <row r="19" spans="1:8">
      <c r="A19" s="48"/>
      <c r="B19" s="233"/>
      <c r="C19" s="234"/>
      <c r="D19" s="83"/>
      <c r="E19" s="69"/>
      <c r="F19" s="74"/>
      <c r="G19" s="71">
        <f t="shared" ref="G19:G23" si="1">E19*F19</f>
        <v>0</v>
      </c>
      <c r="H19" s="82"/>
    </row>
    <row r="20" spans="1:8">
      <c r="A20" s="48"/>
      <c r="B20" s="233"/>
      <c r="C20" s="234"/>
      <c r="D20" s="83"/>
      <c r="E20" s="69"/>
      <c r="F20" s="84"/>
      <c r="G20" s="71">
        <f t="shared" si="1"/>
        <v>0</v>
      </c>
      <c r="H20" s="82"/>
    </row>
    <row r="21" spans="1:8">
      <c r="A21" s="48"/>
      <c r="B21" s="233"/>
      <c r="C21" s="234"/>
      <c r="D21" s="83"/>
      <c r="E21" s="69"/>
      <c r="F21" s="74"/>
      <c r="G21" s="71">
        <f t="shared" si="1"/>
        <v>0</v>
      </c>
      <c r="H21" s="82"/>
    </row>
    <row r="22" spans="1:8">
      <c r="A22" s="48"/>
      <c r="B22" s="233"/>
      <c r="C22" s="234"/>
      <c r="D22" s="83"/>
      <c r="E22" s="69"/>
      <c r="F22" s="74"/>
      <c r="G22" s="71">
        <f t="shared" si="1"/>
        <v>0</v>
      </c>
      <c r="H22" s="82"/>
    </row>
    <row r="23" spans="1:8">
      <c r="A23" s="48"/>
      <c r="B23" s="233"/>
      <c r="C23" s="234"/>
      <c r="D23" s="83"/>
      <c r="E23" s="69"/>
      <c r="F23" s="74"/>
      <c r="G23" s="71">
        <f t="shared" si="1"/>
        <v>0</v>
      </c>
      <c r="H23" s="82"/>
    </row>
    <row r="24" spans="1:8">
      <c r="A24" s="48"/>
      <c r="B24" s="85"/>
      <c r="C24" s="86"/>
      <c r="D24" s="86"/>
      <c r="E24" s="87"/>
      <c r="F24" s="88"/>
      <c r="G24" s="76" t="s">
        <v>58</v>
      </c>
      <c r="H24" s="77">
        <f>SUM(G18:G23)</f>
        <v>0</v>
      </c>
    </row>
    <row r="25" spans="1:8">
      <c r="A25" s="48"/>
      <c r="B25" s="78" t="s">
        <v>63</v>
      </c>
      <c r="C25" s="79"/>
      <c r="D25" s="79"/>
      <c r="E25" s="75"/>
      <c r="F25" s="62"/>
      <c r="G25" s="80"/>
      <c r="H25" s="81"/>
    </row>
    <row r="26" spans="1:8">
      <c r="A26" s="48"/>
      <c r="B26" s="89" t="s">
        <v>64</v>
      </c>
      <c r="C26" s="73" t="s">
        <v>65</v>
      </c>
      <c r="D26" s="73" t="s">
        <v>66</v>
      </c>
      <c r="E26" s="84" t="s">
        <v>67</v>
      </c>
      <c r="F26" s="74" t="s">
        <v>68</v>
      </c>
      <c r="G26" s="84" t="s">
        <v>69</v>
      </c>
      <c r="H26" s="82"/>
    </row>
    <row r="27" spans="1:8">
      <c r="A27" s="48"/>
      <c r="B27" s="90"/>
      <c r="C27" s="91"/>
      <c r="D27" s="92"/>
      <c r="E27" s="93"/>
      <c r="F27" s="94"/>
      <c r="G27" s="71">
        <f>+E27*F27</f>
        <v>0</v>
      </c>
      <c r="H27" s="82"/>
    </row>
    <row r="28" spans="1:8">
      <c r="A28" s="48"/>
      <c r="B28" s="90"/>
      <c r="C28" s="91"/>
      <c r="D28" s="92"/>
      <c r="E28" s="93"/>
      <c r="F28" s="94"/>
      <c r="G28" s="71">
        <f t="shared" ref="G28:G31" si="2">+E28*F28</f>
        <v>0</v>
      </c>
      <c r="H28" s="82"/>
    </row>
    <row r="29" spans="1:8">
      <c r="A29" s="48"/>
      <c r="B29" s="90"/>
      <c r="C29" s="91"/>
      <c r="D29" s="92"/>
      <c r="E29" s="93"/>
      <c r="F29" s="94"/>
      <c r="G29" s="71">
        <f t="shared" si="2"/>
        <v>0</v>
      </c>
      <c r="H29" s="82"/>
    </row>
    <row r="30" spans="1:8">
      <c r="A30" s="48"/>
      <c r="B30" s="90"/>
      <c r="C30" s="91"/>
      <c r="D30" s="95"/>
      <c r="E30" s="93"/>
      <c r="F30" s="94"/>
      <c r="G30" s="71">
        <f t="shared" si="2"/>
        <v>0</v>
      </c>
      <c r="H30" s="82"/>
    </row>
    <row r="31" spans="1:8">
      <c r="A31" s="48"/>
      <c r="B31" s="90"/>
      <c r="C31" s="91"/>
      <c r="D31" s="95"/>
      <c r="E31" s="93"/>
      <c r="F31" s="94"/>
      <c r="G31" s="71">
        <f t="shared" si="2"/>
        <v>0</v>
      </c>
      <c r="H31" s="82"/>
    </row>
    <row r="32" spans="1:8">
      <c r="A32" s="48"/>
      <c r="B32" s="48"/>
      <c r="E32" s="75"/>
      <c r="F32" s="62"/>
      <c r="G32" s="76" t="s">
        <v>58</v>
      </c>
      <c r="H32" s="77">
        <f>SUM(G27:G31)</f>
        <v>0</v>
      </c>
    </row>
    <row r="33" spans="1:8">
      <c r="A33" s="48"/>
      <c r="B33" s="78" t="s">
        <v>70</v>
      </c>
      <c r="C33" s="79"/>
      <c r="D33" s="79"/>
      <c r="E33" s="75"/>
      <c r="F33" s="62"/>
      <c r="G33" s="80"/>
      <c r="H33" s="81"/>
    </row>
    <row r="34" spans="1:8">
      <c r="A34" s="48"/>
      <c r="B34" s="96" t="s">
        <v>71</v>
      </c>
      <c r="C34" s="97" t="s">
        <v>72</v>
      </c>
      <c r="D34" s="73" t="s">
        <v>73</v>
      </c>
      <c r="E34" s="84" t="s">
        <v>74</v>
      </c>
      <c r="F34" s="74" t="s">
        <v>75</v>
      </c>
      <c r="G34" s="84" t="s">
        <v>69</v>
      </c>
      <c r="H34" s="82"/>
    </row>
    <row r="35" spans="1:8">
      <c r="A35" s="48"/>
      <c r="B35" s="90" t="s">
        <v>118</v>
      </c>
      <c r="C35" s="98"/>
      <c r="D35" s="99"/>
      <c r="E35" s="160">
        <f>MO!D22</f>
        <v>142860.42439500001</v>
      </c>
      <c r="F35" s="74">
        <v>1</v>
      </c>
      <c r="G35" s="101">
        <f>+E35/F35</f>
        <v>142860.42439500001</v>
      </c>
      <c r="H35" s="82"/>
    </row>
    <row r="36" spans="1:8">
      <c r="A36" s="48"/>
      <c r="B36" s="90"/>
      <c r="C36" s="98"/>
      <c r="D36" s="99"/>
      <c r="E36" s="100"/>
      <c r="F36" s="74"/>
      <c r="G36" s="101">
        <f t="shared" ref="G36:G39" si="3">IF(E36=0,0,E36*C36/F36)</f>
        <v>0</v>
      </c>
      <c r="H36" s="82"/>
    </row>
    <row r="37" spans="1:8">
      <c r="A37" s="48"/>
      <c r="B37" s="90"/>
      <c r="C37" s="98"/>
      <c r="D37" s="99"/>
      <c r="E37" s="100"/>
      <c r="F37" s="74"/>
      <c r="G37" s="101">
        <f t="shared" si="3"/>
        <v>0</v>
      </c>
      <c r="H37" s="82"/>
    </row>
    <row r="38" spans="1:8">
      <c r="A38" s="48"/>
      <c r="B38" s="90"/>
      <c r="C38" s="98"/>
      <c r="D38" s="99"/>
      <c r="E38" s="100"/>
      <c r="F38" s="74"/>
      <c r="G38" s="101">
        <f t="shared" si="3"/>
        <v>0</v>
      </c>
      <c r="H38" s="82"/>
    </row>
    <row r="39" spans="1:8">
      <c r="A39" s="48"/>
      <c r="B39" s="90"/>
      <c r="C39" s="98"/>
      <c r="D39" s="99"/>
      <c r="E39" s="100"/>
      <c r="F39" s="74"/>
      <c r="G39" s="101">
        <f t="shared" si="3"/>
        <v>0</v>
      </c>
      <c r="H39" s="82"/>
    </row>
    <row r="40" spans="1:8">
      <c r="A40" s="48"/>
      <c r="B40" s="102"/>
      <c r="C40" s="103"/>
      <c r="D40" s="104"/>
      <c r="E40" s="75"/>
      <c r="F40" s="62"/>
      <c r="G40" s="76" t="s">
        <v>58</v>
      </c>
      <c r="H40" s="77">
        <f>SUM(G35:G39)</f>
        <v>142860.42439500001</v>
      </c>
    </row>
    <row r="41" spans="1:8">
      <c r="A41" s="48"/>
      <c r="B41" s="102"/>
      <c r="C41" s="103"/>
      <c r="D41" s="104"/>
      <c r="E41" s="75"/>
      <c r="F41" s="62"/>
      <c r="G41" s="105"/>
      <c r="H41" s="81"/>
    </row>
    <row r="42" spans="1:8">
      <c r="A42" s="48"/>
      <c r="B42" s="48"/>
      <c r="E42" s="106"/>
      <c r="F42" s="244" t="s">
        <v>76</v>
      </c>
      <c r="G42" s="244"/>
      <c r="H42" s="107">
        <f>ROUND(SUM(H15+H24+H32+H40),2)</f>
        <v>148667.75</v>
      </c>
    </row>
    <row r="43" spans="1:8">
      <c r="A43" s="48"/>
      <c r="B43" s="48"/>
      <c r="E43" s="106"/>
      <c r="F43" s="244" t="s">
        <v>77</v>
      </c>
      <c r="G43" s="244"/>
      <c r="H43" s="107">
        <f>+H42*1.3</f>
        <v>193268.07500000001</v>
      </c>
    </row>
    <row r="45" spans="1:8" ht="29" thickBot="1">
      <c r="B45" s="235" t="s">
        <v>3</v>
      </c>
      <c r="C45" s="236"/>
      <c r="D45" s="236"/>
      <c r="E45" s="236"/>
      <c r="F45" s="236"/>
      <c r="G45" s="236"/>
      <c r="H45" s="237"/>
    </row>
    <row r="46" spans="1:8" ht="14" thickBot="1">
      <c r="B46" s="49"/>
      <c r="C46" s="50"/>
      <c r="D46" s="51"/>
      <c r="E46" s="51"/>
      <c r="F46" s="52"/>
      <c r="G46" s="50"/>
      <c r="H46" s="53"/>
    </row>
    <row r="47" spans="1:8">
      <c r="B47" s="54" t="s">
        <v>122</v>
      </c>
      <c r="C47" s="55"/>
      <c r="D47" s="56"/>
      <c r="E47" s="56"/>
      <c r="F47" s="57"/>
      <c r="G47" s="58" t="s">
        <v>49</v>
      </c>
      <c r="H47" s="59" t="s">
        <v>1</v>
      </c>
    </row>
    <row r="48" spans="1:8">
      <c r="B48" s="60"/>
      <c r="C48" s="61"/>
      <c r="F48" s="62"/>
      <c r="H48" s="63"/>
    </row>
    <row r="49" spans="2:8" ht="42">
      <c r="B49" s="108" t="s">
        <v>115</v>
      </c>
      <c r="C49" s="238"/>
      <c r="D49" s="238"/>
      <c r="E49" s="238"/>
      <c r="F49" s="238"/>
      <c r="G49" s="238"/>
      <c r="H49" s="239"/>
    </row>
    <row r="50" spans="2:8">
      <c r="B50" s="48"/>
      <c r="F50" s="62"/>
      <c r="H50" s="63"/>
    </row>
    <row r="51" spans="2:8">
      <c r="B51" s="60" t="s">
        <v>50</v>
      </c>
      <c r="C51" s="61"/>
      <c r="F51" s="62"/>
      <c r="H51" s="63"/>
    </row>
    <row r="52" spans="2:8">
      <c r="B52" s="109" t="s">
        <v>51</v>
      </c>
      <c r="C52" s="110"/>
      <c r="D52" s="110"/>
      <c r="F52" s="62"/>
      <c r="H52" s="63"/>
    </row>
    <row r="53" spans="2:8">
      <c r="B53" s="245" t="s">
        <v>52</v>
      </c>
      <c r="C53" s="246"/>
      <c r="D53" s="111" t="s">
        <v>53</v>
      </c>
      <c r="E53" s="111" t="s">
        <v>54</v>
      </c>
      <c r="F53" s="111" t="s">
        <v>55</v>
      </c>
      <c r="G53" s="111" t="s">
        <v>56</v>
      </c>
      <c r="H53" s="112" t="s">
        <v>57</v>
      </c>
    </row>
    <row r="54" spans="2:8">
      <c r="B54" s="233" t="s">
        <v>78</v>
      </c>
      <c r="C54" s="234"/>
      <c r="D54" s="68"/>
      <c r="E54" s="69"/>
      <c r="F54" s="70"/>
      <c r="G54" s="71">
        <v>5807.33</v>
      </c>
      <c r="H54" s="72"/>
    </row>
    <row r="55" spans="2:8">
      <c r="B55" s="242" t="s">
        <v>119</v>
      </c>
      <c r="C55" s="243"/>
      <c r="D55" s="113"/>
      <c r="E55" s="69">
        <v>10000</v>
      </c>
      <c r="F55" s="114">
        <v>1</v>
      </c>
      <c r="G55" s="71">
        <f t="shared" ref="G55:G58" si="4">IF(E55=0,0,E55/F55)</f>
        <v>10000</v>
      </c>
      <c r="H55" s="72"/>
    </row>
    <row r="56" spans="2:8">
      <c r="B56" s="242"/>
      <c r="C56" s="243"/>
      <c r="D56" s="113"/>
      <c r="E56" s="69"/>
      <c r="F56" s="114"/>
      <c r="G56" s="71">
        <f t="shared" si="4"/>
        <v>0</v>
      </c>
      <c r="H56" s="72"/>
    </row>
    <row r="57" spans="2:8">
      <c r="B57" s="242"/>
      <c r="C57" s="243"/>
      <c r="D57" s="113"/>
      <c r="E57" s="69"/>
      <c r="F57" s="114"/>
      <c r="G57" s="71">
        <f t="shared" si="4"/>
        <v>0</v>
      </c>
      <c r="H57" s="72"/>
    </row>
    <row r="58" spans="2:8">
      <c r="B58" s="242"/>
      <c r="C58" s="243"/>
      <c r="D58" s="113"/>
      <c r="E58" s="69"/>
      <c r="F58" s="114"/>
      <c r="G58" s="71">
        <f t="shared" si="4"/>
        <v>0</v>
      </c>
      <c r="H58" s="72"/>
    </row>
    <row r="59" spans="2:8">
      <c r="B59" s="48"/>
      <c r="E59" s="75"/>
      <c r="F59" s="62"/>
      <c r="G59" s="115" t="s">
        <v>58</v>
      </c>
      <c r="H59" s="116">
        <f>SUM(G54:G58)</f>
        <v>15807.33</v>
      </c>
    </row>
    <row r="60" spans="2:8">
      <c r="B60" s="78" t="s">
        <v>59</v>
      </c>
      <c r="C60" s="79"/>
      <c r="D60" s="79"/>
      <c r="E60" s="75"/>
      <c r="F60" s="62"/>
      <c r="G60" s="80"/>
      <c r="H60" s="117"/>
    </row>
    <row r="61" spans="2:8">
      <c r="B61" s="245" t="s">
        <v>52</v>
      </c>
      <c r="C61" s="246"/>
      <c r="D61" s="111" t="s">
        <v>60</v>
      </c>
      <c r="E61" s="111" t="s">
        <v>61</v>
      </c>
      <c r="F61" s="111" t="s">
        <v>62</v>
      </c>
      <c r="G61" s="111" t="s">
        <v>56</v>
      </c>
      <c r="H61" s="82"/>
    </row>
    <row r="62" spans="2:8">
      <c r="B62" s="242"/>
      <c r="C62" s="243"/>
      <c r="D62" s="83"/>
      <c r="E62" s="69"/>
      <c r="F62" s="114"/>
      <c r="G62" s="71">
        <f>E62*F62</f>
        <v>0</v>
      </c>
      <c r="H62" s="82"/>
    </row>
    <row r="63" spans="2:8">
      <c r="B63" s="242"/>
      <c r="C63" s="243"/>
      <c r="D63" s="83"/>
      <c r="E63" s="69"/>
      <c r="F63" s="114"/>
      <c r="G63" s="71">
        <f t="shared" ref="G63:G67" si="5">E63*F63</f>
        <v>0</v>
      </c>
      <c r="H63" s="82"/>
    </row>
    <row r="64" spans="2:8">
      <c r="B64" s="242"/>
      <c r="C64" s="243"/>
      <c r="D64" s="83"/>
      <c r="E64" s="69"/>
      <c r="F64" s="118"/>
      <c r="G64" s="71">
        <f t="shared" si="5"/>
        <v>0</v>
      </c>
      <c r="H64" s="82"/>
    </row>
    <row r="65" spans="2:8">
      <c r="B65" s="242"/>
      <c r="C65" s="243"/>
      <c r="D65" s="83"/>
      <c r="E65" s="69"/>
      <c r="F65" s="114"/>
      <c r="G65" s="71">
        <f t="shared" si="5"/>
        <v>0</v>
      </c>
      <c r="H65" s="82"/>
    </row>
    <row r="66" spans="2:8">
      <c r="B66" s="242"/>
      <c r="C66" s="243"/>
      <c r="D66" s="83"/>
      <c r="E66" s="69"/>
      <c r="F66" s="114"/>
      <c r="G66" s="71">
        <f t="shared" si="5"/>
        <v>0</v>
      </c>
      <c r="H66" s="82"/>
    </row>
    <row r="67" spans="2:8">
      <c r="B67" s="242"/>
      <c r="C67" s="243"/>
      <c r="D67" s="83"/>
      <c r="E67" s="69"/>
      <c r="F67" s="114"/>
      <c r="G67" s="71">
        <f t="shared" si="5"/>
        <v>0</v>
      </c>
      <c r="H67" s="82"/>
    </row>
    <row r="68" spans="2:8">
      <c r="B68" s="119"/>
      <c r="C68" s="120"/>
      <c r="D68" s="120"/>
      <c r="E68" s="121"/>
      <c r="F68" s="122"/>
      <c r="G68" s="115" t="s">
        <v>58</v>
      </c>
      <c r="H68" s="116">
        <f>SUM(G62:G67)</f>
        <v>0</v>
      </c>
    </row>
    <row r="69" spans="2:8">
      <c r="B69" s="78" t="s">
        <v>63</v>
      </c>
      <c r="C69" s="79"/>
      <c r="D69" s="79"/>
      <c r="E69" s="75"/>
      <c r="F69" s="62"/>
      <c r="G69" s="80"/>
      <c r="H69" s="117"/>
    </row>
    <row r="70" spans="2:8">
      <c r="B70" s="123" t="s">
        <v>64</v>
      </c>
      <c r="C70" s="113" t="s">
        <v>65</v>
      </c>
      <c r="D70" s="113" t="s">
        <v>66</v>
      </c>
      <c r="E70" s="118" t="s">
        <v>67</v>
      </c>
      <c r="F70" s="114" t="s">
        <v>68</v>
      </c>
      <c r="G70" s="118" t="s">
        <v>69</v>
      </c>
      <c r="H70" s="82"/>
    </row>
    <row r="71" spans="2:8">
      <c r="B71" s="124"/>
      <c r="C71" s="125"/>
      <c r="D71" s="126"/>
      <c r="E71" s="127"/>
      <c r="F71" s="128"/>
      <c r="G71" s="71">
        <f>+E71*F71</f>
        <v>0</v>
      </c>
      <c r="H71" s="82"/>
    </row>
    <row r="72" spans="2:8">
      <c r="B72" s="124"/>
      <c r="C72" s="125"/>
      <c r="D72" s="126"/>
      <c r="E72" s="127"/>
      <c r="F72" s="128"/>
      <c r="G72" s="71">
        <f t="shared" ref="G72:G75" si="6">+E72*F72</f>
        <v>0</v>
      </c>
      <c r="H72" s="82"/>
    </row>
    <row r="73" spans="2:8">
      <c r="B73" s="124"/>
      <c r="C73" s="125"/>
      <c r="D73" s="126"/>
      <c r="E73" s="127"/>
      <c r="F73" s="128"/>
      <c r="G73" s="71">
        <f t="shared" si="6"/>
        <v>0</v>
      </c>
      <c r="H73" s="82"/>
    </row>
    <row r="74" spans="2:8">
      <c r="B74" s="124"/>
      <c r="C74" s="125"/>
      <c r="D74" s="129"/>
      <c r="E74" s="127"/>
      <c r="F74" s="128"/>
      <c r="G74" s="71">
        <f t="shared" si="6"/>
        <v>0</v>
      </c>
      <c r="H74" s="82"/>
    </row>
    <row r="75" spans="2:8">
      <c r="B75" s="124"/>
      <c r="C75" s="125"/>
      <c r="D75" s="129"/>
      <c r="E75" s="127"/>
      <c r="F75" s="128"/>
      <c r="G75" s="71">
        <f t="shared" si="6"/>
        <v>0</v>
      </c>
      <c r="H75" s="82"/>
    </row>
    <row r="76" spans="2:8">
      <c r="B76" s="48"/>
      <c r="E76" s="75"/>
      <c r="F76" s="62"/>
      <c r="G76" s="115" t="s">
        <v>58</v>
      </c>
      <c r="H76" s="116">
        <f>SUM(G71:G75)</f>
        <v>0</v>
      </c>
    </row>
    <row r="77" spans="2:8">
      <c r="B77" s="78" t="s">
        <v>70</v>
      </c>
      <c r="C77" s="79"/>
      <c r="D77" s="79"/>
      <c r="E77" s="75"/>
      <c r="F77" s="62"/>
      <c r="G77" s="80"/>
      <c r="H77" s="117"/>
    </row>
    <row r="78" spans="2:8">
      <c r="B78" s="130" t="s">
        <v>71</v>
      </c>
      <c r="C78" s="131" t="s">
        <v>72</v>
      </c>
      <c r="D78" s="113" t="s">
        <v>73</v>
      </c>
      <c r="E78" s="118" t="s">
        <v>74</v>
      </c>
      <c r="F78" s="114" t="s">
        <v>75</v>
      </c>
      <c r="G78" s="118" t="s">
        <v>69</v>
      </c>
      <c r="H78" s="82"/>
    </row>
    <row r="79" spans="2:8">
      <c r="B79" s="90" t="s">
        <v>118</v>
      </c>
      <c r="C79" s="98"/>
      <c r="D79" s="99"/>
      <c r="E79" s="160">
        <f>MO!D22</f>
        <v>142860.42439500001</v>
      </c>
      <c r="F79" s="74">
        <v>1</v>
      </c>
      <c r="G79" s="135">
        <f>E79/F79</f>
        <v>142860.42439500001</v>
      </c>
      <c r="H79" s="82"/>
    </row>
    <row r="80" spans="2:8">
      <c r="B80" s="124"/>
      <c r="C80" s="132"/>
      <c r="D80" s="133"/>
      <c r="E80" s="134"/>
      <c r="F80" s="114"/>
      <c r="G80" s="135">
        <f t="shared" ref="G80:G83" si="7">IF(E80=0,0,E80*C80/F80)</f>
        <v>0</v>
      </c>
      <c r="H80" s="82"/>
    </row>
    <row r="81" spans="2:8">
      <c r="B81" s="124"/>
      <c r="C81" s="132"/>
      <c r="D81" s="133"/>
      <c r="E81" s="134"/>
      <c r="F81" s="114"/>
      <c r="G81" s="135">
        <f t="shared" si="7"/>
        <v>0</v>
      </c>
      <c r="H81" s="82"/>
    </row>
    <row r="82" spans="2:8">
      <c r="B82" s="124"/>
      <c r="C82" s="132"/>
      <c r="D82" s="133"/>
      <c r="E82" s="134"/>
      <c r="F82" s="114"/>
      <c r="G82" s="135">
        <f t="shared" si="7"/>
        <v>0</v>
      </c>
      <c r="H82" s="82"/>
    </row>
    <row r="83" spans="2:8">
      <c r="B83" s="124"/>
      <c r="C83" s="132"/>
      <c r="D83" s="133"/>
      <c r="E83" s="134"/>
      <c r="F83" s="114"/>
      <c r="G83" s="135">
        <f t="shared" si="7"/>
        <v>0</v>
      </c>
      <c r="H83" s="82"/>
    </row>
    <row r="84" spans="2:8">
      <c r="B84" s="102"/>
      <c r="C84" s="103"/>
      <c r="D84" s="104"/>
      <c r="E84" s="75"/>
      <c r="F84" s="62"/>
      <c r="G84" s="115" t="s">
        <v>58</v>
      </c>
      <c r="H84" s="116">
        <f>SUM(G79:G83)</f>
        <v>142860.42439500001</v>
      </c>
    </row>
    <row r="85" spans="2:8">
      <c r="B85" s="102"/>
      <c r="C85" s="103"/>
      <c r="D85" s="104"/>
      <c r="E85" s="75"/>
      <c r="F85" s="62"/>
      <c r="G85" s="105"/>
      <c r="H85" s="117"/>
    </row>
    <row r="86" spans="2:8">
      <c r="B86" s="48"/>
      <c r="E86" s="106"/>
      <c r="F86" s="244" t="s">
        <v>76</v>
      </c>
      <c r="G86" s="244"/>
      <c r="H86" s="107">
        <f>ROUND(SUM(H59+H68+H76+H84),2)</f>
        <v>158667.75</v>
      </c>
    </row>
    <row r="87" spans="2:8">
      <c r="B87" s="48"/>
      <c r="E87" s="106"/>
      <c r="F87" s="244" t="s">
        <v>77</v>
      </c>
      <c r="G87" s="244"/>
      <c r="H87" s="107">
        <f>+H86*1.3</f>
        <v>206268.07500000001</v>
      </c>
    </row>
    <row r="89" spans="2:8" ht="29" thickBot="1">
      <c r="B89" s="235" t="s">
        <v>3</v>
      </c>
      <c r="C89" s="236"/>
      <c r="D89" s="236"/>
      <c r="E89" s="236"/>
      <c r="F89" s="236"/>
      <c r="G89" s="236"/>
      <c r="H89" s="237"/>
    </row>
    <row r="90" spans="2:8" ht="14" thickBot="1">
      <c r="B90" s="49"/>
      <c r="C90" s="50"/>
      <c r="D90" s="51"/>
      <c r="E90" s="51"/>
      <c r="F90" s="52"/>
      <c r="G90" s="50"/>
      <c r="H90" s="53"/>
    </row>
    <row r="91" spans="2:8">
      <c r="B91" s="54" t="s">
        <v>123</v>
      </c>
      <c r="C91" s="55"/>
      <c r="D91" s="56"/>
      <c r="E91" s="56"/>
      <c r="F91" s="57"/>
      <c r="G91" s="58" t="s">
        <v>49</v>
      </c>
      <c r="H91" s="59" t="s">
        <v>109</v>
      </c>
    </row>
    <row r="92" spans="2:8">
      <c r="B92" s="60"/>
      <c r="C92" s="61"/>
      <c r="F92" s="62"/>
      <c r="H92" s="63"/>
    </row>
    <row r="93" spans="2:8" ht="28">
      <c r="B93" s="108" t="s">
        <v>116</v>
      </c>
      <c r="C93" s="238"/>
      <c r="D93" s="238"/>
      <c r="E93" s="238"/>
      <c r="F93" s="238"/>
      <c r="G93" s="238"/>
      <c r="H93" s="239"/>
    </row>
    <row r="94" spans="2:8">
      <c r="B94" s="48"/>
      <c r="F94" s="62"/>
      <c r="H94" s="63"/>
    </row>
    <row r="95" spans="2:8">
      <c r="B95" s="60" t="s">
        <v>50</v>
      </c>
      <c r="C95" s="61"/>
      <c r="F95" s="62"/>
      <c r="H95" s="63"/>
    </row>
    <row r="96" spans="2:8">
      <c r="B96" s="109" t="s">
        <v>51</v>
      </c>
      <c r="C96" s="110"/>
      <c r="D96" s="110"/>
      <c r="F96" s="62"/>
      <c r="H96" s="63"/>
    </row>
    <row r="97" spans="2:8">
      <c r="B97" s="245" t="s">
        <v>52</v>
      </c>
      <c r="C97" s="246"/>
      <c r="D97" s="111" t="s">
        <v>53</v>
      </c>
      <c r="E97" s="111" t="s">
        <v>54</v>
      </c>
      <c r="F97" s="111" t="s">
        <v>55</v>
      </c>
      <c r="G97" s="111" t="s">
        <v>56</v>
      </c>
      <c r="H97" s="112" t="s">
        <v>57</v>
      </c>
    </row>
    <row r="98" spans="2:8">
      <c r="B98" s="242"/>
      <c r="C98" s="243"/>
      <c r="D98" s="68"/>
      <c r="E98" s="69"/>
      <c r="F98" s="70"/>
      <c r="G98" s="71">
        <f>+E98*F98</f>
        <v>0</v>
      </c>
      <c r="H98" s="72"/>
    </row>
    <row r="99" spans="2:8">
      <c r="B99" s="242"/>
      <c r="C99" s="243"/>
      <c r="D99" s="113"/>
      <c r="E99" s="69"/>
      <c r="F99" s="114"/>
      <c r="G99" s="71">
        <f t="shared" ref="G99:G102" si="8">IF(E99=0,0,E99/F99)</f>
        <v>0</v>
      </c>
      <c r="H99" s="72"/>
    </row>
    <row r="100" spans="2:8">
      <c r="B100" s="242"/>
      <c r="C100" s="243"/>
      <c r="D100" s="113"/>
      <c r="E100" s="69"/>
      <c r="F100" s="114"/>
      <c r="G100" s="71">
        <f t="shared" si="8"/>
        <v>0</v>
      </c>
      <c r="H100" s="72"/>
    </row>
    <row r="101" spans="2:8">
      <c r="B101" s="242"/>
      <c r="C101" s="243"/>
      <c r="D101" s="113"/>
      <c r="E101" s="69"/>
      <c r="F101" s="114"/>
      <c r="G101" s="71">
        <f t="shared" si="8"/>
        <v>0</v>
      </c>
      <c r="H101" s="72"/>
    </row>
    <row r="102" spans="2:8">
      <c r="B102" s="242"/>
      <c r="C102" s="243"/>
      <c r="D102" s="113"/>
      <c r="E102" s="69"/>
      <c r="F102" s="114"/>
      <c r="G102" s="71">
        <f t="shared" si="8"/>
        <v>0</v>
      </c>
      <c r="H102" s="72"/>
    </row>
    <row r="103" spans="2:8">
      <c r="B103" s="48"/>
      <c r="E103" s="75"/>
      <c r="F103" s="62"/>
      <c r="G103" s="115" t="s">
        <v>58</v>
      </c>
      <c r="H103" s="116">
        <f>SUM(G98:G102)</f>
        <v>0</v>
      </c>
    </row>
    <row r="104" spans="2:8">
      <c r="B104" s="78" t="s">
        <v>59</v>
      </c>
      <c r="C104" s="79"/>
      <c r="D104" s="79"/>
      <c r="E104" s="75"/>
      <c r="F104" s="62"/>
      <c r="G104" s="80"/>
      <c r="H104" s="117"/>
    </row>
    <row r="105" spans="2:8">
      <c r="B105" s="245" t="s">
        <v>52</v>
      </c>
      <c r="C105" s="246"/>
      <c r="D105" s="111" t="s">
        <v>60</v>
      </c>
      <c r="E105" s="111" t="s">
        <v>61</v>
      </c>
      <c r="F105" s="111" t="s">
        <v>62</v>
      </c>
      <c r="G105" s="111" t="s">
        <v>56</v>
      </c>
      <c r="H105" s="82"/>
    </row>
    <row r="106" spans="2:8" ht="29" customHeight="1">
      <c r="B106" s="247" t="s">
        <v>108</v>
      </c>
      <c r="C106" s="248"/>
      <c r="D106" s="214" t="s">
        <v>109</v>
      </c>
      <c r="E106" s="215">
        <v>3860000</v>
      </c>
      <c r="F106" s="216">
        <v>1</v>
      </c>
      <c r="G106" s="217">
        <f>E106*F106</f>
        <v>3860000</v>
      </c>
      <c r="H106" s="82"/>
    </row>
    <row r="107" spans="2:8">
      <c r="B107" s="242"/>
      <c r="C107" s="243"/>
      <c r="D107" s="83"/>
      <c r="E107" s="69"/>
      <c r="F107" s="114"/>
      <c r="G107" s="71">
        <f t="shared" ref="G107:G111" si="9">E107*F107</f>
        <v>0</v>
      </c>
      <c r="H107" s="82"/>
    </row>
    <row r="108" spans="2:8">
      <c r="B108" s="242"/>
      <c r="C108" s="243"/>
      <c r="D108" s="83"/>
      <c r="E108" s="69"/>
      <c r="F108" s="118"/>
      <c r="G108" s="71">
        <f t="shared" si="9"/>
        <v>0</v>
      </c>
      <c r="H108" s="82"/>
    </row>
    <row r="109" spans="2:8">
      <c r="B109" s="242"/>
      <c r="C109" s="243"/>
      <c r="D109" s="83"/>
      <c r="E109" s="69"/>
      <c r="F109" s="114"/>
      <c r="G109" s="71">
        <f t="shared" si="9"/>
        <v>0</v>
      </c>
      <c r="H109" s="82"/>
    </row>
    <row r="110" spans="2:8">
      <c r="B110" s="242"/>
      <c r="C110" s="243"/>
      <c r="D110" s="83"/>
      <c r="E110" s="69"/>
      <c r="F110" s="114"/>
      <c r="G110" s="71">
        <f t="shared" si="9"/>
        <v>0</v>
      </c>
      <c r="H110" s="82"/>
    </row>
    <row r="111" spans="2:8">
      <c r="B111" s="242"/>
      <c r="C111" s="243"/>
      <c r="D111" s="83"/>
      <c r="E111" s="69"/>
      <c r="F111" s="114"/>
      <c r="G111" s="71">
        <f t="shared" si="9"/>
        <v>0</v>
      </c>
      <c r="H111" s="82"/>
    </row>
    <row r="112" spans="2:8">
      <c r="B112" s="119"/>
      <c r="C112" s="120"/>
      <c r="D112" s="120"/>
      <c r="E112" s="121"/>
      <c r="F112" s="122"/>
      <c r="G112" s="115" t="s">
        <v>58</v>
      </c>
      <c r="H112" s="116">
        <f>SUM(G106:G111)</f>
        <v>3860000</v>
      </c>
    </row>
    <row r="113" spans="2:8">
      <c r="B113" s="78" t="s">
        <v>63</v>
      </c>
      <c r="C113" s="79"/>
      <c r="D113" s="79"/>
      <c r="E113" s="75"/>
      <c r="F113" s="62"/>
      <c r="G113" s="80"/>
      <c r="H113" s="117"/>
    </row>
    <row r="114" spans="2:8">
      <c r="B114" s="123" t="s">
        <v>64</v>
      </c>
      <c r="C114" s="113" t="s">
        <v>65</v>
      </c>
      <c r="D114" s="113" t="s">
        <v>66</v>
      </c>
      <c r="E114" s="118" t="s">
        <v>67</v>
      </c>
      <c r="F114" s="114" t="s">
        <v>68</v>
      </c>
      <c r="G114" s="118" t="s">
        <v>69</v>
      </c>
      <c r="H114" s="82"/>
    </row>
    <row r="115" spans="2:8">
      <c r="B115" s="124"/>
      <c r="C115" s="125"/>
      <c r="D115" s="126"/>
      <c r="E115" s="127"/>
      <c r="F115" s="128"/>
      <c r="G115" s="71">
        <f>+E115*F115</f>
        <v>0</v>
      </c>
      <c r="H115" s="82"/>
    </row>
    <row r="116" spans="2:8">
      <c r="B116" s="124"/>
      <c r="C116" s="125"/>
      <c r="D116" s="126"/>
      <c r="E116" s="127"/>
      <c r="F116" s="128"/>
      <c r="G116" s="71">
        <f t="shared" ref="G116:G119" si="10">+E116*F116</f>
        <v>0</v>
      </c>
      <c r="H116" s="82"/>
    </row>
    <row r="117" spans="2:8">
      <c r="B117" s="124"/>
      <c r="C117" s="125"/>
      <c r="D117" s="126"/>
      <c r="E117" s="127"/>
      <c r="F117" s="128"/>
      <c r="G117" s="71">
        <f t="shared" si="10"/>
        <v>0</v>
      </c>
      <c r="H117" s="82"/>
    </row>
    <row r="118" spans="2:8">
      <c r="B118" s="124"/>
      <c r="C118" s="125"/>
      <c r="D118" s="129"/>
      <c r="E118" s="127"/>
      <c r="F118" s="128"/>
      <c r="G118" s="71">
        <f t="shared" si="10"/>
        <v>0</v>
      </c>
      <c r="H118" s="82"/>
    </row>
    <row r="119" spans="2:8">
      <c r="B119" s="124"/>
      <c r="C119" s="125"/>
      <c r="D119" s="129"/>
      <c r="E119" s="127"/>
      <c r="F119" s="128"/>
      <c r="G119" s="71">
        <f t="shared" si="10"/>
        <v>0</v>
      </c>
      <c r="H119" s="82"/>
    </row>
    <row r="120" spans="2:8">
      <c r="B120" s="48"/>
      <c r="E120" s="75"/>
      <c r="F120" s="62"/>
      <c r="G120" s="115" t="s">
        <v>58</v>
      </c>
      <c r="H120" s="116">
        <f>SUM(G115:G119)</f>
        <v>0</v>
      </c>
    </row>
    <row r="121" spans="2:8">
      <c r="B121" s="78" t="s">
        <v>70</v>
      </c>
      <c r="C121" s="79"/>
      <c r="D121" s="79"/>
      <c r="E121" s="75"/>
      <c r="F121" s="62"/>
      <c r="G121" s="80"/>
      <c r="H121" s="117"/>
    </row>
    <row r="122" spans="2:8">
      <c r="B122" s="130" t="s">
        <v>71</v>
      </c>
      <c r="C122" s="131" t="s">
        <v>72</v>
      </c>
      <c r="D122" s="113" t="s">
        <v>73</v>
      </c>
      <c r="E122" s="118" t="s">
        <v>74</v>
      </c>
      <c r="F122" s="114" t="s">
        <v>75</v>
      </c>
      <c r="G122" s="118" t="s">
        <v>69</v>
      </c>
      <c r="H122" s="82"/>
    </row>
    <row r="123" spans="2:8">
      <c r="B123" s="124"/>
      <c r="C123" s="132"/>
      <c r="D123" s="133"/>
      <c r="E123" s="134"/>
      <c r="F123" s="114"/>
      <c r="G123" s="135">
        <f t="shared" ref="G123:G127" si="11">IF(E123=0,0,E123*C123/F123)</f>
        <v>0</v>
      </c>
      <c r="H123" s="82"/>
    </row>
    <row r="124" spans="2:8">
      <c r="B124" s="124"/>
      <c r="C124" s="132"/>
      <c r="D124" s="133"/>
      <c r="E124" s="134"/>
      <c r="F124" s="114"/>
      <c r="G124" s="135">
        <f t="shared" si="11"/>
        <v>0</v>
      </c>
      <c r="H124" s="82"/>
    </row>
    <row r="125" spans="2:8">
      <c r="B125" s="124"/>
      <c r="C125" s="132"/>
      <c r="D125" s="133"/>
      <c r="E125" s="134"/>
      <c r="F125" s="114"/>
      <c r="G125" s="135">
        <f t="shared" si="11"/>
        <v>0</v>
      </c>
      <c r="H125" s="82"/>
    </row>
    <row r="126" spans="2:8">
      <c r="B126" s="124"/>
      <c r="C126" s="132"/>
      <c r="D126" s="133"/>
      <c r="E126" s="134"/>
      <c r="F126" s="114"/>
      <c r="G126" s="135">
        <f t="shared" si="11"/>
        <v>0</v>
      </c>
      <c r="H126" s="82"/>
    </row>
    <row r="127" spans="2:8">
      <c r="B127" s="124"/>
      <c r="C127" s="132"/>
      <c r="D127" s="133"/>
      <c r="E127" s="134"/>
      <c r="F127" s="114"/>
      <c r="G127" s="135">
        <f t="shared" si="11"/>
        <v>0</v>
      </c>
      <c r="H127" s="82"/>
    </row>
    <row r="128" spans="2:8">
      <c r="B128" s="102"/>
      <c r="C128" s="103"/>
      <c r="D128" s="104"/>
      <c r="E128" s="75"/>
      <c r="F128" s="62"/>
      <c r="G128" s="115" t="s">
        <v>58</v>
      </c>
      <c r="H128" s="116">
        <f>SUM(G123:G127)</f>
        <v>0</v>
      </c>
    </row>
    <row r="129" spans="2:8">
      <c r="B129" s="102"/>
      <c r="C129" s="103"/>
      <c r="D129" s="104"/>
      <c r="E129" s="75"/>
      <c r="F129" s="62"/>
      <c r="G129" s="105"/>
      <c r="H129" s="117"/>
    </row>
    <row r="130" spans="2:8">
      <c r="B130" s="48"/>
      <c r="E130" s="106"/>
      <c r="F130" s="244" t="s">
        <v>76</v>
      </c>
      <c r="G130" s="244"/>
      <c r="H130" s="107">
        <f>ROUND(SUM(H103+H112+H120+H128),2)</f>
        <v>3860000</v>
      </c>
    </row>
    <row r="131" spans="2:8">
      <c r="B131" s="48"/>
      <c r="E131" s="106"/>
      <c r="F131" s="244" t="s">
        <v>77</v>
      </c>
      <c r="G131" s="244"/>
      <c r="H131" s="107">
        <f>+H130*1.3</f>
        <v>5018000</v>
      </c>
    </row>
    <row r="133" spans="2:8" ht="29" thickBot="1">
      <c r="B133" s="235" t="s">
        <v>3</v>
      </c>
      <c r="C133" s="236"/>
      <c r="D133" s="236"/>
      <c r="E133" s="236"/>
      <c r="F133" s="236"/>
      <c r="G133" s="236"/>
      <c r="H133" s="237"/>
    </row>
    <row r="134" spans="2:8" ht="14" thickBot="1">
      <c r="B134" s="49"/>
      <c r="C134" s="50"/>
      <c r="D134" s="51"/>
      <c r="E134" s="51"/>
      <c r="F134" s="52"/>
      <c r="G134" s="50"/>
      <c r="H134" s="53"/>
    </row>
    <row r="135" spans="2:8">
      <c r="B135" s="54" t="s">
        <v>124</v>
      </c>
      <c r="C135" s="55"/>
      <c r="D135" s="56"/>
      <c r="E135" s="56"/>
      <c r="F135" s="57"/>
      <c r="G135" s="58" t="s">
        <v>49</v>
      </c>
      <c r="H135" s="59" t="s">
        <v>113</v>
      </c>
    </row>
    <row r="136" spans="2:8">
      <c r="B136" s="60"/>
      <c r="C136" s="61"/>
      <c r="F136" s="62"/>
      <c r="H136" s="63"/>
    </row>
    <row r="137" spans="2:8" ht="28">
      <c r="B137" s="108" t="s">
        <v>117</v>
      </c>
      <c r="C137" s="238"/>
      <c r="D137" s="238"/>
      <c r="E137" s="238"/>
      <c r="F137" s="238"/>
      <c r="G137" s="238"/>
      <c r="H137" s="239"/>
    </row>
    <row r="138" spans="2:8">
      <c r="B138" s="48"/>
      <c r="F138" s="62"/>
      <c r="H138" s="63"/>
    </row>
    <row r="139" spans="2:8">
      <c r="B139" s="60" t="s">
        <v>50</v>
      </c>
      <c r="C139" s="61"/>
      <c r="F139" s="62"/>
      <c r="H139" s="63"/>
    </row>
    <row r="140" spans="2:8">
      <c r="B140" s="136" t="s">
        <v>51</v>
      </c>
      <c r="C140" s="137"/>
      <c r="D140" s="137"/>
      <c r="F140" s="62"/>
      <c r="H140" s="63"/>
    </row>
    <row r="141" spans="2:8">
      <c r="B141" s="249" t="s">
        <v>52</v>
      </c>
      <c r="C141" s="250"/>
      <c r="D141" s="138" t="s">
        <v>53</v>
      </c>
      <c r="E141" s="138" t="s">
        <v>54</v>
      </c>
      <c r="F141" s="138" t="s">
        <v>55</v>
      </c>
      <c r="G141" s="138" t="s">
        <v>56</v>
      </c>
      <c r="H141" s="139" t="s">
        <v>57</v>
      </c>
    </row>
    <row r="142" spans="2:8">
      <c r="B142" s="251" t="s">
        <v>120</v>
      </c>
      <c r="C142" s="252"/>
      <c r="D142" s="68" t="s">
        <v>113</v>
      </c>
      <c r="E142" s="69">
        <v>92566</v>
      </c>
      <c r="F142" s="70">
        <v>1</v>
      </c>
      <c r="G142" s="71">
        <f>+E142*F142</f>
        <v>92566</v>
      </c>
      <c r="H142" s="72"/>
    </row>
    <row r="143" spans="2:8">
      <c r="B143" s="253"/>
      <c r="C143" s="254"/>
      <c r="D143" s="140"/>
      <c r="E143" s="69"/>
      <c r="F143" s="141"/>
      <c r="G143" s="71">
        <f t="shared" ref="G143:G146" si="12">IF(E143=0,0,E143/F143)</f>
        <v>0</v>
      </c>
      <c r="H143" s="72"/>
    </row>
    <row r="144" spans="2:8">
      <c r="B144" s="253"/>
      <c r="C144" s="254"/>
      <c r="D144" s="140"/>
      <c r="E144" s="69"/>
      <c r="F144" s="141"/>
      <c r="G144" s="71">
        <f t="shared" si="12"/>
        <v>0</v>
      </c>
      <c r="H144" s="72"/>
    </row>
    <row r="145" spans="2:8">
      <c r="B145" s="253"/>
      <c r="C145" s="254"/>
      <c r="D145" s="140"/>
      <c r="E145" s="69"/>
      <c r="F145" s="141"/>
      <c r="G145" s="71">
        <f t="shared" si="12"/>
        <v>0</v>
      </c>
      <c r="H145" s="72"/>
    </row>
    <row r="146" spans="2:8">
      <c r="B146" s="253"/>
      <c r="C146" s="254"/>
      <c r="D146" s="140"/>
      <c r="E146" s="69"/>
      <c r="F146" s="141"/>
      <c r="G146" s="71">
        <f t="shared" si="12"/>
        <v>0</v>
      </c>
      <c r="H146" s="72"/>
    </row>
    <row r="147" spans="2:8">
      <c r="B147" s="48"/>
      <c r="E147" s="75"/>
      <c r="F147" s="62"/>
      <c r="G147" s="142" t="s">
        <v>58</v>
      </c>
      <c r="H147" s="143">
        <f>SUM(G142:G146)</f>
        <v>92566</v>
      </c>
    </row>
    <row r="148" spans="2:8">
      <c r="B148" s="78" t="s">
        <v>59</v>
      </c>
      <c r="C148" s="79"/>
      <c r="D148" s="79"/>
      <c r="E148" s="75"/>
      <c r="F148" s="62"/>
      <c r="G148" s="80"/>
      <c r="H148" s="144"/>
    </row>
    <row r="149" spans="2:8">
      <c r="B149" s="249" t="s">
        <v>52</v>
      </c>
      <c r="C149" s="250"/>
      <c r="D149" s="138" t="s">
        <v>60</v>
      </c>
      <c r="E149" s="138" t="s">
        <v>61</v>
      </c>
      <c r="F149" s="138" t="s">
        <v>62</v>
      </c>
      <c r="G149" s="138" t="s">
        <v>56</v>
      </c>
      <c r="H149" s="82"/>
    </row>
    <row r="150" spans="2:8">
      <c r="B150" s="253"/>
      <c r="C150" s="254"/>
      <c r="D150" s="83"/>
      <c r="E150" s="69"/>
      <c r="F150" s="141"/>
      <c r="G150" s="71">
        <f>E150*F150</f>
        <v>0</v>
      </c>
      <c r="H150" s="82"/>
    </row>
    <row r="151" spans="2:8">
      <c r="B151" s="253"/>
      <c r="C151" s="254"/>
      <c r="D151" s="83"/>
      <c r="E151" s="69"/>
      <c r="F151" s="141"/>
      <c r="G151" s="71">
        <f t="shared" ref="G151:G155" si="13">E151*F151</f>
        <v>0</v>
      </c>
      <c r="H151" s="82"/>
    </row>
    <row r="152" spans="2:8">
      <c r="B152" s="253"/>
      <c r="C152" s="254"/>
      <c r="D152" s="83"/>
      <c r="E152" s="69"/>
      <c r="F152" s="145"/>
      <c r="G152" s="71">
        <f t="shared" si="13"/>
        <v>0</v>
      </c>
      <c r="H152" s="82"/>
    </row>
    <row r="153" spans="2:8">
      <c r="B153" s="253"/>
      <c r="C153" s="254"/>
      <c r="D153" s="83"/>
      <c r="E153" s="69"/>
      <c r="F153" s="141"/>
      <c r="G153" s="71">
        <f t="shared" si="13"/>
        <v>0</v>
      </c>
      <c r="H153" s="82"/>
    </row>
    <row r="154" spans="2:8">
      <c r="B154" s="253"/>
      <c r="C154" s="254"/>
      <c r="D154" s="83"/>
      <c r="E154" s="69"/>
      <c r="F154" s="141"/>
      <c r="G154" s="71">
        <f t="shared" si="13"/>
        <v>0</v>
      </c>
      <c r="H154" s="82"/>
    </row>
    <row r="155" spans="2:8">
      <c r="B155" s="253"/>
      <c r="C155" s="254"/>
      <c r="D155" s="83"/>
      <c r="E155" s="69"/>
      <c r="F155" s="141"/>
      <c r="G155" s="71">
        <f t="shared" si="13"/>
        <v>0</v>
      </c>
      <c r="H155" s="82"/>
    </row>
    <row r="156" spans="2:8">
      <c r="B156" s="146"/>
      <c r="C156" s="120"/>
      <c r="D156" s="120"/>
      <c r="E156" s="121"/>
      <c r="F156" s="122"/>
      <c r="G156" s="142" t="s">
        <v>58</v>
      </c>
      <c r="H156" s="143">
        <f>SUM(G150:G155)</f>
        <v>0</v>
      </c>
    </row>
    <row r="157" spans="2:8">
      <c r="B157" s="78" t="s">
        <v>63</v>
      </c>
      <c r="C157" s="79"/>
      <c r="D157" s="79"/>
      <c r="E157" s="75"/>
      <c r="F157" s="62"/>
      <c r="G157" s="80"/>
      <c r="H157" s="144"/>
    </row>
    <row r="158" spans="2:8">
      <c r="B158" s="147" t="s">
        <v>64</v>
      </c>
      <c r="C158" s="140" t="s">
        <v>65</v>
      </c>
      <c r="D158" s="140" t="s">
        <v>66</v>
      </c>
      <c r="E158" s="145" t="s">
        <v>67</v>
      </c>
      <c r="F158" s="141" t="s">
        <v>68</v>
      </c>
      <c r="G158" s="145" t="s">
        <v>69</v>
      </c>
      <c r="H158" s="82"/>
    </row>
    <row r="159" spans="2:8">
      <c r="B159" s="148"/>
      <c r="C159" s="149"/>
      <c r="D159" s="150"/>
      <c r="E159" s="151"/>
      <c r="F159" s="152"/>
      <c r="G159" s="71">
        <f>+E159*F159</f>
        <v>0</v>
      </c>
      <c r="H159" s="82"/>
    </row>
    <row r="160" spans="2:8">
      <c r="B160" s="148"/>
      <c r="C160" s="149"/>
      <c r="D160" s="150"/>
      <c r="E160" s="151"/>
      <c r="F160" s="152"/>
      <c r="G160" s="71">
        <f t="shared" ref="G160:G163" si="14">+E160*F160</f>
        <v>0</v>
      </c>
      <c r="H160" s="82"/>
    </row>
    <row r="161" spans="2:8">
      <c r="B161" s="148"/>
      <c r="C161" s="149"/>
      <c r="D161" s="150"/>
      <c r="E161" s="151"/>
      <c r="F161" s="152"/>
      <c r="G161" s="71">
        <f t="shared" si="14"/>
        <v>0</v>
      </c>
      <c r="H161" s="82"/>
    </row>
    <row r="162" spans="2:8">
      <c r="B162" s="148"/>
      <c r="C162" s="149"/>
      <c r="D162" s="153"/>
      <c r="E162" s="151"/>
      <c r="F162" s="152"/>
      <c r="G162" s="71">
        <f t="shared" si="14"/>
        <v>0</v>
      </c>
      <c r="H162" s="82"/>
    </row>
    <row r="163" spans="2:8">
      <c r="B163" s="148"/>
      <c r="C163" s="149"/>
      <c r="D163" s="153"/>
      <c r="E163" s="151"/>
      <c r="F163" s="152"/>
      <c r="G163" s="71">
        <f t="shared" si="14"/>
        <v>0</v>
      </c>
      <c r="H163" s="82"/>
    </row>
    <row r="164" spans="2:8">
      <c r="B164" s="48"/>
      <c r="E164" s="75"/>
      <c r="F164" s="62"/>
      <c r="G164" s="142" t="s">
        <v>58</v>
      </c>
      <c r="H164" s="143">
        <f>SUM(G159:G163)</f>
        <v>0</v>
      </c>
    </row>
    <row r="165" spans="2:8">
      <c r="B165" s="78" t="s">
        <v>70</v>
      </c>
      <c r="C165" s="79"/>
      <c r="D165" s="79"/>
      <c r="E165" s="75"/>
      <c r="F165" s="62"/>
      <c r="G165" s="80"/>
      <c r="H165" s="144"/>
    </row>
    <row r="166" spans="2:8">
      <c r="B166" s="154" t="s">
        <v>71</v>
      </c>
      <c r="C166" s="155" t="s">
        <v>72</v>
      </c>
      <c r="D166" s="140" t="s">
        <v>73</v>
      </c>
      <c r="E166" s="145" t="s">
        <v>74</v>
      </c>
      <c r="F166" s="141" t="s">
        <v>75</v>
      </c>
      <c r="G166" s="145" t="s">
        <v>69</v>
      </c>
      <c r="H166" s="82"/>
    </row>
    <row r="167" spans="2:8">
      <c r="B167" s="148"/>
      <c r="C167" s="156"/>
      <c r="D167" s="157"/>
      <c r="E167" s="158"/>
      <c r="F167" s="141"/>
      <c r="G167" s="159">
        <f t="shared" ref="G167:G171" si="15">IF(E167=0,0,E167*C167/F167)</f>
        <v>0</v>
      </c>
      <c r="H167" s="82"/>
    </row>
    <row r="168" spans="2:8">
      <c r="B168" s="148"/>
      <c r="C168" s="156"/>
      <c r="D168" s="157"/>
      <c r="E168" s="158"/>
      <c r="F168" s="141"/>
      <c r="G168" s="159">
        <f t="shared" si="15"/>
        <v>0</v>
      </c>
      <c r="H168" s="82"/>
    </row>
    <row r="169" spans="2:8">
      <c r="B169" s="148"/>
      <c r="C169" s="156"/>
      <c r="D169" s="157"/>
      <c r="E169" s="158"/>
      <c r="F169" s="141"/>
      <c r="G169" s="159">
        <f t="shared" si="15"/>
        <v>0</v>
      </c>
      <c r="H169" s="82"/>
    </row>
    <row r="170" spans="2:8">
      <c r="B170" s="148"/>
      <c r="C170" s="156"/>
      <c r="D170" s="157"/>
      <c r="E170" s="158"/>
      <c r="F170" s="141"/>
      <c r="G170" s="159">
        <f t="shared" si="15"/>
        <v>0</v>
      </c>
      <c r="H170" s="82"/>
    </row>
    <row r="171" spans="2:8">
      <c r="B171" s="148"/>
      <c r="C171" s="156"/>
      <c r="D171" s="157"/>
      <c r="E171" s="158"/>
      <c r="F171" s="141"/>
      <c r="G171" s="159">
        <f t="shared" si="15"/>
        <v>0</v>
      </c>
      <c r="H171" s="82"/>
    </row>
    <row r="172" spans="2:8">
      <c r="B172" s="102"/>
      <c r="C172" s="103"/>
      <c r="D172" s="104"/>
      <c r="E172" s="75"/>
      <c r="F172" s="62"/>
      <c r="G172" s="142" t="s">
        <v>58</v>
      </c>
      <c r="H172" s="143">
        <f>SUM(G167:G171)</f>
        <v>0</v>
      </c>
    </row>
    <row r="173" spans="2:8">
      <c r="B173" s="102"/>
      <c r="C173" s="103"/>
      <c r="D173" s="104"/>
      <c r="E173" s="75"/>
      <c r="F173" s="62"/>
      <c r="G173" s="105"/>
      <c r="H173" s="144"/>
    </row>
    <row r="174" spans="2:8">
      <c r="B174" s="48"/>
      <c r="E174" s="106"/>
      <c r="F174" s="244" t="s">
        <v>76</v>
      </c>
      <c r="G174" s="244"/>
      <c r="H174" s="107">
        <f>ROUND(SUM(H147+H156+H164+H172),2)</f>
        <v>92566</v>
      </c>
    </row>
    <row r="175" spans="2:8">
      <c r="B175" s="48"/>
      <c r="E175" s="106"/>
      <c r="F175" s="244" t="s">
        <v>77</v>
      </c>
      <c r="G175" s="244"/>
      <c r="H175" s="107">
        <f>+H174*1.3</f>
        <v>120335.8</v>
      </c>
    </row>
  </sheetData>
  <mergeCells count="68">
    <mergeCell ref="F174:G174"/>
    <mergeCell ref="F175:G175"/>
    <mergeCell ref="B150:C150"/>
    <mergeCell ref="B151:C151"/>
    <mergeCell ref="B152:C152"/>
    <mergeCell ref="B153:C153"/>
    <mergeCell ref="B154:C154"/>
    <mergeCell ref="B155:C155"/>
    <mergeCell ref="B149:C149"/>
    <mergeCell ref="B111:C111"/>
    <mergeCell ref="F130:G130"/>
    <mergeCell ref="F131:G131"/>
    <mergeCell ref="B133:H133"/>
    <mergeCell ref="C137:H137"/>
    <mergeCell ref="B141:C141"/>
    <mergeCell ref="B142:C142"/>
    <mergeCell ref="B143:C143"/>
    <mergeCell ref="B144:C144"/>
    <mergeCell ref="B145:C145"/>
    <mergeCell ref="B146:C146"/>
    <mergeCell ref="B110:C110"/>
    <mergeCell ref="B97:C97"/>
    <mergeCell ref="B98:C98"/>
    <mergeCell ref="B99:C99"/>
    <mergeCell ref="B100:C100"/>
    <mergeCell ref="B101:C101"/>
    <mergeCell ref="B102:C102"/>
    <mergeCell ref="B105:C105"/>
    <mergeCell ref="B106:C106"/>
    <mergeCell ref="B107:C107"/>
    <mergeCell ref="B108:C108"/>
    <mergeCell ref="B109:C109"/>
    <mergeCell ref="C93:H93"/>
    <mergeCell ref="B58:C58"/>
    <mergeCell ref="B61:C61"/>
    <mergeCell ref="B62:C62"/>
    <mergeCell ref="B63:C63"/>
    <mergeCell ref="B64:C64"/>
    <mergeCell ref="B65:C65"/>
    <mergeCell ref="B66:C66"/>
    <mergeCell ref="B67:C67"/>
    <mergeCell ref="F86:G86"/>
    <mergeCell ref="F87:G87"/>
    <mergeCell ref="B89:H89"/>
    <mergeCell ref="B57:C57"/>
    <mergeCell ref="B21:C21"/>
    <mergeCell ref="B22:C22"/>
    <mergeCell ref="B23:C23"/>
    <mergeCell ref="F42:G42"/>
    <mergeCell ref="F43:G43"/>
    <mergeCell ref="B45:H45"/>
    <mergeCell ref="C49:H49"/>
    <mergeCell ref="B53:C53"/>
    <mergeCell ref="B54:C54"/>
    <mergeCell ref="B55:C55"/>
    <mergeCell ref="B56:C56"/>
    <mergeCell ref="B20:C20"/>
    <mergeCell ref="B1:H1"/>
    <mergeCell ref="C5:H5"/>
    <mergeCell ref="B9:C9"/>
    <mergeCell ref="B10:C10"/>
    <mergeCell ref="B11:C11"/>
    <mergeCell ref="B12:C12"/>
    <mergeCell ref="B13:C13"/>
    <mergeCell ref="B14:C14"/>
    <mergeCell ref="B17:C17"/>
    <mergeCell ref="B18:C18"/>
    <mergeCell ref="B19:C19"/>
  </mergeCell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MO</vt:lpstr>
      <vt:lpstr>ANALISIS BASICOS</vt:lpstr>
      <vt:lpstr>PTO</vt:lpstr>
      <vt:lpstr>APUS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Delio Naranjo</dc:creator>
  <cp:lastModifiedBy>Juan Diego Botero Cure</cp:lastModifiedBy>
  <cp:lastPrinted>2026-03-17T21:16:41Z</cp:lastPrinted>
  <dcterms:created xsi:type="dcterms:W3CDTF">2025-06-03T23:16:11Z</dcterms:created>
  <dcterms:modified xsi:type="dcterms:W3CDTF">2026-03-24T14:00:54Z</dcterms:modified>
</cp:coreProperties>
</file>