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PROYECTOS 2026\AULA ESCOLAR\"/>
    </mc:Choice>
  </mc:AlternateContent>
  <bookViews>
    <workbookView xWindow="0" yWindow="0" windowWidth="23040" windowHeight="8208" tabRatio="878" firstSheet="1" activeTab="1"/>
  </bookViews>
  <sheets>
    <sheet name="BASICO" sheetId="15" state="hidden" r:id="rId1"/>
    <sheet name="Presupuesto" sheetId="2" r:id="rId2"/>
    <sheet name="MEMORIA DE CANTIDADES DE OBRA " sheetId="20" r:id="rId3"/>
    <sheet name="APU" sheetId="3" r:id="rId4"/>
    <sheet name="CRONOGRAMA" sheetId="16" state="hidden" r:id="rId5"/>
    <sheet name="Memoria de Cantidades" sheetId="1" state="hidden" r:id="rId6"/>
    <sheet name="F.M " sheetId="13" r:id="rId7"/>
    <sheet name="CRONOGRAMA--" sheetId="21" r:id="rId8"/>
    <sheet name="DESGLOSE AIU" sheetId="23" r:id="rId9"/>
    <sheet name="BASICOS RURAL" sheetId="25" r:id="rId10"/>
    <sheet name="BASICOS URBANOS" sheetId="26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a" localSheetId="0">[1]Insumos!#REF!</definedName>
    <definedName name="\a" localSheetId="4">[1]Insumos!#REF!</definedName>
    <definedName name="\a">[1]Insumos!#REF!</definedName>
    <definedName name="\b" localSheetId="0">[2]INSUMOS!#REF!</definedName>
    <definedName name="\b" localSheetId="4">[2]INSUMOS!#REF!</definedName>
    <definedName name="\b">[2]INSUMOS!#REF!</definedName>
    <definedName name="\i" localSheetId="0">[2]INSUMOS!#REF!</definedName>
    <definedName name="\i" localSheetId="4">[2]INSUMOS!#REF!</definedName>
    <definedName name="\i">[2]INSUMOS!#REF!</definedName>
    <definedName name="\m" localSheetId="0">[2]INSUMOS!#REF!</definedName>
    <definedName name="\m" localSheetId="4">[2]INSUMOS!#REF!</definedName>
    <definedName name="\m">[2]INSUMOS!#REF!</definedName>
    <definedName name="\r" localSheetId="0">[2]INSUMOS!#REF!</definedName>
    <definedName name="\r" localSheetId="4">[2]INSUMOS!#REF!</definedName>
    <definedName name="\r">[2]INSUMOS!#REF!</definedName>
    <definedName name="\t" localSheetId="0">[2]INSUMOS!#REF!</definedName>
    <definedName name="\t" localSheetId="4">[2]INSUMOS!#REF!</definedName>
    <definedName name="\t">[2]INSUMOS!#REF!</definedName>
    <definedName name="\x" localSheetId="0">[2]INSUMOS!#REF!</definedName>
    <definedName name="\x" localSheetId="4">[2]INSUMOS!#REF!</definedName>
    <definedName name="\x">[2]INSUMOS!#REF!</definedName>
    <definedName name="_________________________________apu1" localSheetId="0">[2]INSUMOS!#REF!</definedName>
    <definedName name="_________________________________apu1" localSheetId="4">[2]INSUMOS!#REF!</definedName>
    <definedName name="_________________________________apu1">[2]INSUMOS!#REF!</definedName>
    <definedName name="________________________________apu1" localSheetId="0">[2]INSUMOS!#REF!</definedName>
    <definedName name="________________________________apu1" localSheetId="4">[2]INSUMOS!#REF!</definedName>
    <definedName name="________________________________apu1">[2]INSUMOS!#REF!</definedName>
    <definedName name="_______________________________apu1" localSheetId="0">[2]INSUMOS!#REF!</definedName>
    <definedName name="_______________________________apu1" localSheetId="4">[2]INSUMOS!#REF!</definedName>
    <definedName name="_______________________________apu1">[2]INSUMOS!#REF!</definedName>
    <definedName name="______________________________apu1" localSheetId="0">[2]INSUMOS!#REF!</definedName>
    <definedName name="______________________________apu1" localSheetId="4">[2]INSUMOS!#REF!</definedName>
    <definedName name="______________________________apu1">[2]INSUMOS!#REF!</definedName>
    <definedName name="____________________________apu1" localSheetId="0">[2]INSUMOS!#REF!</definedName>
    <definedName name="____________________________apu1" localSheetId="4">[2]INSUMOS!#REF!</definedName>
    <definedName name="____________________________apu1">[2]INSUMOS!#REF!</definedName>
    <definedName name="___________________________apu1" localSheetId="0">[2]INSUMOS!#REF!</definedName>
    <definedName name="___________________________apu1" localSheetId="4">[2]INSUMOS!#REF!</definedName>
    <definedName name="___________________________apu1">[2]INSUMOS!#REF!</definedName>
    <definedName name="__________________________apu1" localSheetId="0">[2]INSUMOS!#REF!</definedName>
    <definedName name="__________________________apu1" localSheetId="4">[2]INSUMOS!#REF!</definedName>
    <definedName name="__________________________apu1">[2]INSUMOS!#REF!</definedName>
    <definedName name="_________________________apu1" localSheetId="0">[2]INSUMOS!#REF!</definedName>
    <definedName name="_________________________apu1" localSheetId="4">[2]INSUMOS!#REF!</definedName>
    <definedName name="_________________________apu1">[2]INSUMOS!#REF!</definedName>
    <definedName name="________________________apu1" localSheetId="0">[2]INSUMOS!#REF!</definedName>
    <definedName name="________________________apu1" localSheetId="4">[2]INSUMOS!#REF!</definedName>
    <definedName name="________________________apu1">[2]INSUMOS!#REF!</definedName>
    <definedName name="_______________________apu1" localSheetId="0">[2]INSUMOS!#REF!</definedName>
    <definedName name="_______________________apu1" localSheetId="4">[2]INSUMOS!#REF!</definedName>
    <definedName name="_______________________apu1">[2]INSUMOS!#REF!</definedName>
    <definedName name="_____________________apu1" localSheetId="0">[2]INSUMOS!#REF!</definedName>
    <definedName name="_____________________apu1" localSheetId="4">[2]INSUMOS!#REF!</definedName>
    <definedName name="_____________________apu1">[2]INSUMOS!#REF!</definedName>
    <definedName name="____________________apu1" localSheetId="0">[2]INSUMOS!#REF!</definedName>
    <definedName name="____________________apu1" localSheetId="4">[2]INSUMOS!#REF!</definedName>
    <definedName name="____________________apu1">[2]INSUMOS!#REF!</definedName>
    <definedName name="___________________apu1" localSheetId="0">[2]INSUMOS!#REF!</definedName>
    <definedName name="___________________apu1" localSheetId="4">[2]INSUMOS!#REF!</definedName>
    <definedName name="___________________apu1">[2]INSUMOS!#REF!</definedName>
    <definedName name="__________________apu1" localSheetId="0">[2]INSUMOS!#REF!</definedName>
    <definedName name="__________________apu1" localSheetId="4">[2]INSUMOS!#REF!</definedName>
    <definedName name="__________________apu1">[2]INSUMOS!#REF!</definedName>
    <definedName name="_________________apu1" localSheetId="0">[2]INSUMOS!#REF!</definedName>
    <definedName name="_________________apu1" localSheetId="4">[2]INSUMOS!#REF!</definedName>
    <definedName name="_________________apu1">[2]INSUMOS!#REF!</definedName>
    <definedName name="________________apu1" localSheetId="0">[2]INSUMOS!#REF!</definedName>
    <definedName name="________________apu1" localSheetId="4">[2]INSUMOS!#REF!</definedName>
    <definedName name="________________apu1">[2]INSUMOS!#REF!</definedName>
    <definedName name="_______________apu1" localSheetId="0">[2]INSUMOS!#REF!</definedName>
    <definedName name="_______________apu1" localSheetId="4">[2]INSUMOS!#REF!</definedName>
    <definedName name="_______________apu1">[2]INSUMOS!#REF!</definedName>
    <definedName name="______________apu1" localSheetId="0">[2]INSUMOS!#REF!</definedName>
    <definedName name="______________apu1" localSheetId="4">[2]INSUMOS!#REF!</definedName>
    <definedName name="______________apu1">[2]INSUMOS!#REF!</definedName>
    <definedName name="_____________apu1" localSheetId="0">[2]INSUMOS!#REF!</definedName>
    <definedName name="_____________apu1" localSheetId="4">[2]INSUMOS!#REF!</definedName>
    <definedName name="_____________apu1">[2]INSUMOS!#REF!</definedName>
    <definedName name="____________apu1" localSheetId="0">[2]INSUMOS!#REF!</definedName>
    <definedName name="____________apu1" localSheetId="4">[2]INSUMOS!#REF!</definedName>
    <definedName name="____________apu1">[2]INSUMOS!#REF!</definedName>
    <definedName name="___________apu1" localSheetId="0">[2]INSUMOS!#REF!</definedName>
    <definedName name="___________apu1" localSheetId="4">[2]INSUMOS!#REF!</definedName>
    <definedName name="___________apu1">[2]INSUMOS!#REF!</definedName>
    <definedName name="__________apu1" localSheetId="0">[2]INSUMOS!#REF!</definedName>
    <definedName name="__________apu1" localSheetId="4">[2]INSUMOS!#REF!</definedName>
    <definedName name="__________apu1">[2]INSUMOS!#REF!</definedName>
    <definedName name="_________apu1" localSheetId="0">[2]INSUMOS!#REF!</definedName>
    <definedName name="_________apu1" localSheetId="4">[2]INSUMOS!#REF!</definedName>
    <definedName name="_________apu1">[2]INSUMOS!#REF!</definedName>
    <definedName name="________apu1" localSheetId="0">[2]INSUMOS!#REF!</definedName>
    <definedName name="________apu1" localSheetId="4">[2]INSUMOS!#REF!</definedName>
    <definedName name="________apu1">[2]INSUMOS!#REF!</definedName>
    <definedName name="_______apu1" localSheetId="0">[2]INSUMOS!#REF!</definedName>
    <definedName name="_______apu1" localSheetId="4">[2]INSUMOS!#REF!</definedName>
    <definedName name="_______apu1">[2]INSUMOS!#REF!</definedName>
    <definedName name="______apu1" localSheetId="0">[2]INSUMOS!#REF!</definedName>
    <definedName name="______apu1" localSheetId="4">[2]INSUMOS!#REF!</definedName>
    <definedName name="______apu1">[2]INSUMOS!#REF!</definedName>
    <definedName name="_____apu1" localSheetId="0">[2]INSUMOS!#REF!</definedName>
    <definedName name="_____apu1" localSheetId="4">[2]INSUMOS!#REF!</definedName>
    <definedName name="_____apu1">[2]INSUMOS!#REF!</definedName>
    <definedName name="____apu1" localSheetId="0">[2]INSUMOS!#REF!</definedName>
    <definedName name="____apu1" localSheetId="4">[2]INSUMOS!#REF!</definedName>
    <definedName name="____apu1">[2]INSUMOS!#REF!</definedName>
    <definedName name="___apu1" localSheetId="0">[2]INSUMOS!#REF!</definedName>
    <definedName name="___apu1" localSheetId="4">[2]INSUMOS!#REF!</definedName>
    <definedName name="___apu1">[2]INSUMOS!#REF!</definedName>
    <definedName name="__apu1" localSheetId="0">[2]INSUMOS!#REF!</definedName>
    <definedName name="__apu1" localSheetId="4">[2]INSUMOS!#REF!</definedName>
    <definedName name="__apu1">[2]INSUMOS!#REF!</definedName>
    <definedName name="_A16400">#REF!</definedName>
    <definedName name="_apu1" localSheetId="0">[2]INSUMOS!#REF!</definedName>
    <definedName name="_apu1" localSheetId="4">[2]INSUMOS!#REF!</definedName>
    <definedName name="_apu1">[2]INSUMOS!#REF!</definedName>
    <definedName name="_xlnm._FilterDatabase" localSheetId="5" hidden="1">'Memoria de Cantidades'!$A$7:$A$30</definedName>
    <definedName name="_Key1" localSheetId="0" hidden="1">[2]INSUMOS!#REF!</definedName>
    <definedName name="_Key1" localSheetId="4" hidden="1">[2]INSUMOS!#REF!</definedName>
    <definedName name="_Key1" hidden="1">[2]INSUMOS!#REF!</definedName>
    <definedName name="_Order1" hidden="1">255</definedName>
    <definedName name="_Sort" localSheetId="0" hidden="1">[2]INSUMOS!#REF!</definedName>
    <definedName name="_Sort" localSheetId="4" hidden="1">[2]INSUMOS!#REF!</definedName>
    <definedName name="_Sort" hidden="1">[2]INSUMOS!#REF!</definedName>
    <definedName name="a" localSheetId="0">[1]Insumos!#REF!</definedName>
    <definedName name="a" localSheetId="4">[1]Insumos!#REF!</definedName>
    <definedName name="A" localSheetId="8">#REF!</definedName>
    <definedName name="a">[1]Insumos!#REF!</definedName>
    <definedName name="ACERO" localSheetId="0">#REF!</definedName>
    <definedName name="ACERO" localSheetId="4">#REF!</definedName>
    <definedName name="ACERO" localSheetId="8">#REF!</definedName>
    <definedName name="ACERO">#REF!</definedName>
    <definedName name="ACTIVOS" localSheetId="0">#REF!</definedName>
    <definedName name="ACTIVOS" localSheetId="4">#REF!</definedName>
    <definedName name="ACTIVOS" localSheetId="8">#REF!</definedName>
    <definedName name="ACTIVOS">#REF!</definedName>
    <definedName name="adfasdfsa" localSheetId="0">[1]Insumos!#REF!</definedName>
    <definedName name="adfasdfsa" localSheetId="4">[1]Insumos!#REF!</definedName>
    <definedName name="adfasdfsa" localSheetId="8">[1]Insumos!#REF!</definedName>
    <definedName name="adfasdfsa">[1]Insumos!#REF!</definedName>
    <definedName name="adfasfadfa" localSheetId="0">[1]Insumos!#REF!</definedName>
    <definedName name="adfasfadfa" localSheetId="4">[1]Insumos!#REF!</definedName>
    <definedName name="adfasfadfa">[1]Insumos!#REF!</definedName>
    <definedName name="ADMON" localSheetId="0">#REF!</definedName>
    <definedName name="ADMON" localSheetId="4">#REF!</definedName>
    <definedName name="ADMON" localSheetId="8">#REF!</definedName>
    <definedName name="ADMON">#REF!</definedName>
    <definedName name="adsfadsfasdfafdasfdasfd" localSheetId="0">[2]INSUMOS!#REF!</definedName>
    <definedName name="adsfadsfasdfafdasfdasfd" localSheetId="4">[2]INSUMOS!#REF!</definedName>
    <definedName name="adsfadsfasdfafdasfdasfd">[2]INSUMOS!#REF!</definedName>
    <definedName name="adsfadsfasfasdfasfdasdfadsfdsafdsa" localSheetId="0">[1]Insumos!#REF!</definedName>
    <definedName name="adsfadsfasfasdfasfdasdfadsfdsafdsa" localSheetId="4">[1]Insumos!#REF!</definedName>
    <definedName name="adsfadsfasfasdfasfdasdfadsfdsafdsa">[1]Insumos!#REF!</definedName>
    <definedName name="afdaffaf" localSheetId="0">[1]Insumos!#REF!</definedName>
    <definedName name="afdaffaf" localSheetId="4">[1]Insumos!#REF!</definedName>
    <definedName name="afdaffaf">[1]Insumos!#REF!</definedName>
    <definedName name="AGUA">[3]INSUMOS!$D$4</definedName>
    <definedName name="ALAMB">[3]INSUMOS!$D$169</definedName>
    <definedName name="ALAMBRE" localSheetId="0">#REF!</definedName>
    <definedName name="ALAMBRE" localSheetId="4">#REF!</definedName>
    <definedName name="ALAMBRE" localSheetId="8">#REF!</definedName>
    <definedName name="ALAMBRE">#REF!</definedName>
    <definedName name="ANDENESV" localSheetId="0">#REF!</definedName>
    <definedName name="ANDENESV" localSheetId="4">#REF!</definedName>
    <definedName name="ANDENESV" localSheetId="8">#REF!</definedName>
    <definedName name="ANDENESV">#REF!</definedName>
    <definedName name="ANTISB">[3]INSUMOS!$D$181</definedName>
    <definedName name="apu" localSheetId="0">[1]Insumos!#REF!</definedName>
    <definedName name="APU" localSheetId="9">[4]APU!$A:$H</definedName>
    <definedName name="APU" localSheetId="10">[4]APU!$A:$H</definedName>
    <definedName name="apu" localSheetId="4">[1]Insumos!#REF!</definedName>
    <definedName name="APU" localSheetId="8">[5]APU!$A:$H</definedName>
    <definedName name="apu">[1]Insumos!#REF!</definedName>
    <definedName name="APUS" localSheetId="9">[6]APU!$A:$H</definedName>
    <definedName name="APUS" localSheetId="10">[6]APU!$A:$H</definedName>
    <definedName name="APUS" localSheetId="8">[7]APU!$A:$H</definedName>
    <definedName name="APUS">[8]APU!$A:$H</definedName>
    <definedName name="_xlnm.Extract">#REF!</definedName>
    <definedName name="_xlnm.Print_Area" localSheetId="3">APU!$A$1:$H$1724</definedName>
    <definedName name="_xlnm.Print_Area" localSheetId="0">BASICO!$A$1:$H$58</definedName>
    <definedName name="_xlnm.Print_Area" localSheetId="9">'BASICOS RURAL'!$A$1:$H$153</definedName>
    <definedName name="_xlnm.Print_Area" localSheetId="10">'BASICOS URBANOS'!$A$1:$H$153</definedName>
    <definedName name="_xlnm.Print_Area" localSheetId="4">CRONOGRAMA!$A$1:$H$36</definedName>
    <definedName name="_xlnm.Print_Area" localSheetId="7">'CRONOGRAMA--'!$A$1:$L$68</definedName>
    <definedName name="_xlnm.Print_Area" localSheetId="8">'DESGLOSE AIU'!$A$1:$F$61</definedName>
    <definedName name="_xlnm.Print_Area" localSheetId="6">'F.M '!$B$1:$G$39</definedName>
    <definedName name="_xlnm.Print_Area" localSheetId="5">'Memoria de Cantidades'!$A$1:$K$58</definedName>
    <definedName name="_xlnm.Print_Area" localSheetId="2">'MEMORIA DE CANTIDADES DE OBRA '!$A$1:$J$353</definedName>
    <definedName name="ARENA" localSheetId="0">#REF!</definedName>
    <definedName name="ARENA" localSheetId="4">#REF!</definedName>
    <definedName name="ARENA" localSheetId="8">#REF!</definedName>
    <definedName name="ARENA">#REF!</definedName>
    <definedName name="Arial" localSheetId="0">#REF!</definedName>
    <definedName name="Arial" localSheetId="4">#REF!</definedName>
    <definedName name="Arial" localSheetId="8">#REF!</definedName>
    <definedName name="Arial">#REF!</definedName>
    <definedName name="asdfadsfadsfafda" localSheetId="0">[1]Insumos!#REF!</definedName>
    <definedName name="asdfadsfadsfafda" localSheetId="4">[1]Insumos!#REF!</definedName>
    <definedName name="asdfadsfadsfafda" localSheetId="8">[1]Insumos!#REF!</definedName>
    <definedName name="asdfadsfadsfafda">[1]Insumos!#REF!</definedName>
    <definedName name="asdfasdf" localSheetId="0">[2]INSUMOS!#REF!</definedName>
    <definedName name="asdfasdf" localSheetId="4">[2]INSUMOS!#REF!</definedName>
    <definedName name="asdfasdf">[2]INSUMOS!#REF!</definedName>
    <definedName name="AYU" localSheetId="0">#REF!</definedName>
    <definedName name="AYU" localSheetId="4">#REF!</definedName>
    <definedName name="AYU" localSheetId="8">#REF!</definedName>
    <definedName name="AYU">#REF!</definedName>
    <definedName name="b" localSheetId="0">[1]Insumos!#REF!</definedName>
    <definedName name="b" localSheetId="4">[1]Insumos!#REF!</definedName>
    <definedName name="b">[1]Insumos!#REF!</definedName>
    <definedName name="BASE" localSheetId="0">#REF!</definedName>
    <definedName name="BASE" localSheetId="4">#REF!</definedName>
    <definedName name="BASE" localSheetId="8">#REF!</definedName>
    <definedName name="BASE">#REF!</definedName>
    <definedName name="Base_datos_IM" localSheetId="0">[1]Insumos!#REF!</definedName>
    <definedName name="Base_datos_IM" localSheetId="4">[1]Insumos!#REF!</definedName>
    <definedName name="Base_datos_IM">[1]Insumos!#REF!</definedName>
    <definedName name="_xlnm.Database" localSheetId="0">[1]Insumos!#REF!</definedName>
    <definedName name="_xlnm.Database" localSheetId="4">[1]Insumos!#REF!</definedName>
    <definedName name="_xlnm.Database" localSheetId="8">#REF!</definedName>
    <definedName name="_xlnm.Database">[1]Insumos!#REF!</definedName>
    <definedName name="BASEGRAV" localSheetId="0">#REF!</definedName>
    <definedName name="BASEGRAV" localSheetId="4">#REF!</definedName>
    <definedName name="BASEGRAV" localSheetId="8">#REF!</definedName>
    <definedName name="BASEGRAV">#REF!</definedName>
    <definedName name="BD_COD" localSheetId="0">#REF!</definedName>
    <definedName name="BD_COD" localSheetId="4">#REF!</definedName>
    <definedName name="BD_COD" localSheetId="8">#REF!</definedName>
    <definedName name="BD_COD">#REF!</definedName>
    <definedName name="BD_DIL" localSheetId="0">#REF!</definedName>
    <definedName name="BD_DIL" localSheetId="4">#REF!</definedName>
    <definedName name="BD_DIL" localSheetId="8">#REF!</definedName>
    <definedName name="BD_DIL">#REF!</definedName>
    <definedName name="BORDE1">#N/A</definedName>
    <definedName name="CANGURO" localSheetId="0">#REF!</definedName>
    <definedName name="CANGURO" localSheetId="4">#REF!</definedName>
    <definedName name="CANGURO" localSheetId="8">#REF!</definedName>
    <definedName name="CANGURO">#REF!</definedName>
    <definedName name="Capitulo">[9]Capitulos!$B$1:$B$65536</definedName>
    <definedName name="CEM">[3]INSUMOS!$D$275</definedName>
    <definedName name="CEMENTO" localSheetId="0">#REF!</definedName>
    <definedName name="CEMENTO" localSheetId="4">#REF!</definedName>
    <definedName name="CEMENTO" localSheetId="8">#REF!</definedName>
    <definedName name="CEMENTO">#REF!</definedName>
    <definedName name="cesped" localSheetId="0">[10]Mater!#REF!</definedName>
    <definedName name="cesped" localSheetId="4">[10]Mater!#REF!</definedName>
    <definedName name="cesped">[10]Mater!#REF!</definedName>
    <definedName name="COMPRE" localSheetId="0">#REF!</definedName>
    <definedName name="COMPRE" localSheetId="4">#REF!</definedName>
    <definedName name="COMPRE" localSheetId="8">#REF!</definedName>
    <definedName name="COMPRE">#REF!</definedName>
    <definedName name="CONCRETO25" localSheetId="0">#REF!</definedName>
    <definedName name="CONCRETO25" localSheetId="4">#REF!</definedName>
    <definedName name="CONCRETO25" localSheetId="8">#REF!</definedName>
    <definedName name="CONCRETO25">#REF!</definedName>
    <definedName name="Concreto2500v" localSheetId="0">#REF!</definedName>
    <definedName name="Concreto2500v" localSheetId="4">#REF!</definedName>
    <definedName name="Concreto2500v" localSheetId="8">#REF!</definedName>
    <definedName name="Concreto2500v">#REF!</definedName>
    <definedName name="CONCRETO3" localSheetId="0">#REF!</definedName>
    <definedName name="CONCRETO3" localSheetId="4">#REF!</definedName>
    <definedName name="CONCRETO3" localSheetId="8">#REF!</definedName>
    <definedName name="CONCRETO3">#REF!</definedName>
    <definedName name="concreto5" localSheetId="0">#REF!</definedName>
    <definedName name="concreto5" localSheetId="4">#REF!</definedName>
    <definedName name="concreto5" localSheetId="8">#REF!</definedName>
    <definedName name="concreto5">#REF!</definedName>
    <definedName name="Concreto5500v" localSheetId="0">#REF!</definedName>
    <definedName name="Concreto5500v" localSheetId="4">#REF!</definedName>
    <definedName name="Concreto5500v" localSheetId="8">#REF!</definedName>
    <definedName name="Concreto5500v">#REF!</definedName>
    <definedName name="concretomuro" localSheetId="0">#REF!</definedName>
    <definedName name="concretomuro" localSheetId="4">#REF!</definedName>
    <definedName name="concretomuro" localSheetId="8">#REF!</definedName>
    <definedName name="concretomuro">#REF!</definedName>
    <definedName name="_xlnm.Criteria" localSheetId="0">[2]INSUMOS!#REF!</definedName>
    <definedName name="_xlnm.Criteria" localSheetId="4">[2]INSUMOS!#REF!</definedName>
    <definedName name="_xlnm.Criteria" localSheetId="8">#REF!</definedName>
    <definedName name="_xlnm.Criteria">[2]INSUMOS!#REF!</definedName>
    <definedName name="Criterios_IM" localSheetId="0">[2]INSUMOS!#REF!</definedName>
    <definedName name="Criterios_IM" localSheetId="4">[2]INSUMOS!#REF!</definedName>
    <definedName name="Criterios_IM" localSheetId="8">[2]INSUMOS!#REF!</definedName>
    <definedName name="Criterios_IM">[2]INSUMOS!#REF!</definedName>
    <definedName name="Cronograma" localSheetId="0">[2]INSUMOS!#REF!</definedName>
    <definedName name="Cronograma" localSheetId="4">[2]INSUMOS!#REF!</definedName>
    <definedName name="Cronograma">[2]INSUMOS!#REF!</definedName>
    <definedName name="CUAD" localSheetId="0">#REF!</definedName>
    <definedName name="CUAD" localSheetId="4">#REF!</definedName>
    <definedName name="CUAD" localSheetId="8">#REF!</definedName>
    <definedName name="CUAD">#REF!</definedName>
    <definedName name="Cuadrilla">'[9]Mano Obra'!$B$1:$B$65536</definedName>
    <definedName name="DEMOLICIONANDEN" localSheetId="0">#REF!</definedName>
    <definedName name="DEMOLICIONANDEN" localSheetId="4">#REF!</definedName>
    <definedName name="DEMOLICIONANDEN" localSheetId="8">#REF!</definedName>
    <definedName name="DEMOLICIONANDEN">#REF!</definedName>
    <definedName name="demolicionladrillo" localSheetId="0">#REF!</definedName>
    <definedName name="demolicionladrillo" localSheetId="4">#REF!</definedName>
    <definedName name="demolicionladrillo" localSheetId="8">#REF!</definedName>
    <definedName name="demolicionladrillo">#REF!</definedName>
    <definedName name="DEMOLICIONMURO" localSheetId="0">#REF!</definedName>
    <definedName name="DEMOLICIONMURO" localSheetId="4">#REF!</definedName>
    <definedName name="DEMOLICIONMURO" localSheetId="8">#REF!</definedName>
    <definedName name="DEMOLICIONMURO">#REF!</definedName>
    <definedName name="demolicionpav" localSheetId="0">#REF!</definedName>
    <definedName name="demolicionpav" localSheetId="4">#REF!</definedName>
    <definedName name="demolicionpav" localSheetId="8">#REF!</definedName>
    <definedName name="demolicionpav">#REF!</definedName>
    <definedName name="DesgAIU">[11]APU!$A:$H</definedName>
    <definedName name="dfasfdasdfadsfasdfas" localSheetId="0">[1]Insumos!#REF!</definedName>
    <definedName name="dfasfdasdfadsfasdfas" localSheetId="4">[1]Insumos!#REF!</definedName>
    <definedName name="dfasfdasdfadsfasdfas">[1]Insumos!#REF!</definedName>
    <definedName name="DIA" localSheetId="0">#REF!</definedName>
    <definedName name="DIA" localSheetId="4">#REF!</definedName>
    <definedName name="DIA" localSheetId="8">#REF!</definedName>
    <definedName name="DIA">#REF!</definedName>
    <definedName name="espejo" localSheetId="0">[1]Insumos!#REF!</definedName>
    <definedName name="espejo" localSheetId="4">[1]Insumos!#REF!</definedName>
    <definedName name="espejo">[1]Insumos!#REF!</definedName>
    <definedName name="ESTACA" localSheetId="0">#REF!</definedName>
    <definedName name="ESTACA" localSheetId="4">#REF!</definedName>
    <definedName name="ESTACA" localSheetId="8">#REF!</definedName>
    <definedName name="ESTACA">#REF!</definedName>
    <definedName name="excavaconglomerado" localSheetId="0">#REF!</definedName>
    <definedName name="excavaconglomerado" localSheetId="4">#REF!</definedName>
    <definedName name="excavaconglomerado" localSheetId="8">#REF!</definedName>
    <definedName name="excavaconglomerado">#REF!</definedName>
    <definedName name="EXCAVAMANOV" localSheetId="0">#REF!</definedName>
    <definedName name="EXCAVAMANOV" localSheetId="4">#REF!</definedName>
    <definedName name="EXCAVAMANOV" localSheetId="8">#REF!</definedName>
    <definedName name="EXCAVAMANOV">#REF!</definedName>
    <definedName name="EXCAVAMAQUINAV" localSheetId="0">#REF!</definedName>
    <definedName name="EXCAVAMAQUINAV" localSheetId="4">#REF!</definedName>
    <definedName name="EXCAVAMAQUINAV" localSheetId="8">#REF!</definedName>
    <definedName name="EXCAVAMAQUINAV">#REF!</definedName>
    <definedName name="EXCAVATIERRA" localSheetId="0">#REF!</definedName>
    <definedName name="EXCAVATIERRA" localSheetId="4">#REF!</definedName>
    <definedName name="EXCAVATIERRA" localSheetId="8">#REF!</definedName>
    <definedName name="EXCAVATIERRA">#REF!</definedName>
    <definedName name="EXPL" localSheetId="0">#REF!</definedName>
    <definedName name="EXPL" localSheetId="4">#REF!</definedName>
    <definedName name="EXPL" localSheetId="8">#REF!</definedName>
    <definedName name="EXPL">#REF!</definedName>
    <definedName name="filtrov" localSheetId="0">#REF!</definedName>
    <definedName name="filtrov" localSheetId="4">#REF!</definedName>
    <definedName name="filtrov" localSheetId="8">#REF!</definedName>
    <definedName name="filtrov">#REF!</definedName>
    <definedName name="FORMA" localSheetId="0">#REF!</definedName>
    <definedName name="FORMA" localSheetId="4">#REF!</definedName>
    <definedName name="FORMA" localSheetId="8">#REF!</definedName>
    <definedName name="FORMA">#REF!</definedName>
    <definedName name="GALON" localSheetId="0">#REF!</definedName>
    <definedName name="GALON" localSheetId="4">#REF!</definedName>
    <definedName name="GALON" localSheetId="8">#REF!</definedName>
    <definedName name="GALON">#REF!</definedName>
    <definedName name="GEO" localSheetId="0">#REF!</definedName>
    <definedName name="GEO" localSheetId="4">#REF!</definedName>
    <definedName name="GEO" localSheetId="8">#REF!</definedName>
    <definedName name="GEO">#REF!</definedName>
    <definedName name="GRAVILLA" localSheetId="0">#REF!</definedName>
    <definedName name="GRAVILLA" localSheetId="4">#REF!</definedName>
    <definedName name="GRAVILLA" localSheetId="8">#REF!</definedName>
    <definedName name="GRAVILLA">#REF!</definedName>
    <definedName name="h" localSheetId="0">#REF!</definedName>
    <definedName name="h" localSheetId="9">#REF!</definedName>
    <definedName name="h" localSheetId="10">#REF!</definedName>
    <definedName name="h" localSheetId="4">#REF!</definedName>
    <definedName name="h" localSheetId="8">#REF!</definedName>
    <definedName name="h">#REF!</definedName>
    <definedName name="hierro60v" localSheetId="0">#REF!</definedName>
    <definedName name="hierro60v" localSheetId="4">#REF!</definedName>
    <definedName name="hierro60v" localSheetId="8">#REF!</definedName>
    <definedName name="hierro60v">#REF!</definedName>
    <definedName name="HMEN" localSheetId="0">#REF!</definedName>
    <definedName name="HMEN" localSheetId="4">#REF!</definedName>
    <definedName name="HMEN" localSheetId="8">#REF!</definedName>
    <definedName name="HMEN">#REF!</definedName>
    <definedName name="i">#REF!</definedName>
    <definedName name="IMP" localSheetId="0">#REF!</definedName>
    <definedName name="IMP" localSheetId="4">#REF!</definedName>
    <definedName name="IMP" localSheetId="8">#REF!</definedName>
    <definedName name="IMP">#REF!</definedName>
    <definedName name="inf" localSheetId="0">#REF!</definedName>
    <definedName name="inf" localSheetId="9">#REF!</definedName>
    <definedName name="inf" localSheetId="10">#REF!</definedName>
    <definedName name="inf" localSheetId="4">#REF!</definedName>
    <definedName name="inf" localSheetId="8">#REF!</definedName>
    <definedName name="inf">#REF!</definedName>
    <definedName name="Insumos" localSheetId="9">#REF!</definedName>
    <definedName name="Insumos" localSheetId="10">#REF!</definedName>
    <definedName name="Insumos" localSheetId="8">#REF!</definedName>
    <definedName name="INSUMOS">#N/A</definedName>
    <definedName name="Lavamanos" localSheetId="0">[1]Insumos!#REF!</definedName>
    <definedName name="Lavamanos" localSheetId="4">[1]Insumos!#REF!</definedName>
    <definedName name="Lavamanos" localSheetId="8">[1]Insumos!#REF!</definedName>
    <definedName name="Lavamanos">[1]Insumos!#REF!</definedName>
    <definedName name="leo" localSheetId="0">#REF!</definedName>
    <definedName name="leo" localSheetId="4">#REF!</definedName>
    <definedName name="leo" localSheetId="8">#REF!</definedName>
    <definedName name="leo">#REF!</definedName>
    <definedName name="Lista" localSheetId="0">#REF!</definedName>
    <definedName name="Lista" localSheetId="9">#REF!</definedName>
    <definedName name="Lista" localSheetId="10">#REF!</definedName>
    <definedName name="Lista" localSheetId="4">#REF!</definedName>
    <definedName name="Lista" localSheetId="8">#REF!</definedName>
    <definedName name="Lista">#REF!</definedName>
    <definedName name="LLANTAS" localSheetId="0">#REF!</definedName>
    <definedName name="LLANTAS" localSheetId="4">#REF!</definedName>
    <definedName name="LLANTAS" localSheetId="8">#REF!</definedName>
    <definedName name="LLANTAS">#REF!</definedName>
    <definedName name="llenov" localSheetId="0">#REF!</definedName>
    <definedName name="llenov" localSheetId="4">#REF!</definedName>
    <definedName name="llenov" localSheetId="8">#REF!</definedName>
    <definedName name="llenov">#REF!</definedName>
    <definedName name="LOCALIZACIONV" localSheetId="0">#REF!</definedName>
    <definedName name="LOCALIZACIONV" localSheetId="4">#REF!</definedName>
    <definedName name="LOCALIZACIONV" localSheetId="8">#REF!</definedName>
    <definedName name="LOCALIZACIONV">#REF!</definedName>
    <definedName name="localizamuro" localSheetId="0">#REF!</definedName>
    <definedName name="localizamuro" localSheetId="4">#REF!</definedName>
    <definedName name="localizamuro" localSheetId="8">#REF!</definedName>
    <definedName name="localizamuro">#REF!</definedName>
    <definedName name="MALLA" localSheetId="0">#REF!</definedName>
    <definedName name="MALLA" localSheetId="4">#REF!</definedName>
    <definedName name="MALLA" localSheetId="8">#REF!</definedName>
    <definedName name="MALLA">#REF!</definedName>
    <definedName name="Maquinaria">'[9]Maqui Equip'!$B$1:$B$65536</definedName>
    <definedName name="Materiales" localSheetId="0">#REF!</definedName>
    <definedName name="Materiales" localSheetId="9">#REF!</definedName>
    <definedName name="Materiales" localSheetId="10">#REF!</definedName>
    <definedName name="Materiales" localSheetId="4">#REF!</definedName>
    <definedName name="Materiales" localSheetId="8">#REF!</definedName>
    <definedName name="Materiales">#REF!</definedName>
    <definedName name="MDC" localSheetId="0">#REF!</definedName>
    <definedName name="MDC" localSheetId="4">#REF!</definedName>
    <definedName name="MDC" localSheetId="8">#REF!</definedName>
    <definedName name="MDC">#REF!</definedName>
    <definedName name="MEZCLADORA" localSheetId="0">#REF!</definedName>
    <definedName name="MEZCLADORA" localSheetId="4">#REF!</definedName>
    <definedName name="MEZCLADORA" localSheetId="8">#REF!</definedName>
    <definedName name="MEZCLADORA">#REF!</definedName>
    <definedName name="MOTO" localSheetId="0">#REF!</definedName>
    <definedName name="MOTO" localSheetId="4">#REF!</definedName>
    <definedName name="MOTO" localSheetId="8">#REF!</definedName>
    <definedName name="MOTO">#REF!</definedName>
    <definedName name="motosierra" localSheetId="0">[10]Mater!#REF!</definedName>
    <definedName name="motosierra" localSheetId="4">[10]Mater!#REF!</definedName>
    <definedName name="motosierra" localSheetId="8">[10]Mater!#REF!</definedName>
    <definedName name="motosierra">[10]Mater!#REF!</definedName>
    <definedName name="OFI" localSheetId="0">#REF!</definedName>
    <definedName name="OFI" localSheetId="4">#REF!</definedName>
    <definedName name="OFI" localSheetId="8">#REF!</definedName>
    <definedName name="OFI">#REF!</definedName>
    <definedName name="OTROS" localSheetId="0">#REF!</definedName>
    <definedName name="OTROS" localSheetId="4">#REF!</definedName>
    <definedName name="OTROS" localSheetId="8">#REF!</definedName>
    <definedName name="OTROS">#REF!</definedName>
    <definedName name="PARTE1" localSheetId="0">#REF!</definedName>
    <definedName name="PARTE1" localSheetId="4">#REF!</definedName>
    <definedName name="PARTE1" localSheetId="8">#REF!</definedName>
    <definedName name="PARTE1">#REF!</definedName>
    <definedName name="pavimento" localSheetId="0">#REF!</definedName>
    <definedName name="pavimento" localSheetId="4">#REF!</definedName>
    <definedName name="pavimento" localSheetId="8">#REF!</definedName>
    <definedName name="pavimento">#REF!</definedName>
    <definedName name="PREST" localSheetId="0">#REF!</definedName>
    <definedName name="PREST" localSheetId="4">#REF!</definedName>
    <definedName name="PREST" localSheetId="8">#REF!</definedName>
    <definedName name="PREST">#REF!</definedName>
    <definedName name="PROPONE" localSheetId="0">#REF!</definedName>
    <definedName name="PROPONE" localSheetId="4">#REF!</definedName>
    <definedName name="PROPONE" localSheetId="8">#REF!</definedName>
    <definedName name="PROPONE">#REF!</definedName>
    <definedName name="PUNT">[3]INSUMOS!$D$688</definedName>
    <definedName name="qdefqfqwreqwerqw" localSheetId="0">[1]Insumos!#REF!</definedName>
    <definedName name="qdefqfqwreqwerqw" localSheetId="4">[1]Insumos!#REF!</definedName>
    <definedName name="qdefqfqwreqwerqw">[1]Insumos!#REF!</definedName>
    <definedName name="RAJON" localSheetId="0">#REF!</definedName>
    <definedName name="RAJON" localSheetId="4">#REF!</definedName>
    <definedName name="RAJON" localSheetId="8">#REF!</definedName>
    <definedName name="RAJON">#REF!</definedName>
    <definedName name="RECEBO" localSheetId="0">#REF!</definedName>
    <definedName name="RECEBO" localSheetId="4">#REF!</definedName>
    <definedName name="RECEBO" localSheetId="8">#REF!</definedName>
    <definedName name="RECEBO">#REF!</definedName>
    <definedName name="RETIROV" localSheetId="0">#REF!</definedName>
    <definedName name="RETIROV" localSheetId="4">#REF!</definedName>
    <definedName name="RETIROV" localSheetId="8">#REF!</definedName>
    <definedName name="RETIROV">#REF!</definedName>
    <definedName name="RETRO" localSheetId="0">#REF!</definedName>
    <definedName name="RETRO" localSheetId="4">#REF!</definedName>
    <definedName name="RETRO" localSheetId="8">#REF!</definedName>
    <definedName name="RETRO">#REF!</definedName>
    <definedName name="SARDINELV" localSheetId="0">#REF!</definedName>
    <definedName name="SARDINELV" localSheetId="4">#REF!</definedName>
    <definedName name="SARDINELV" localSheetId="8">#REF!</definedName>
    <definedName name="SARDINELV">#REF!</definedName>
    <definedName name="soladov" localSheetId="0">#REF!</definedName>
    <definedName name="soladov" localSheetId="4">#REF!</definedName>
    <definedName name="soladov" localSheetId="8">#REF!</definedName>
    <definedName name="soladov">#REF!</definedName>
    <definedName name="SUBBASE" localSheetId="0">#REF!</definedName>
    <definedName name="SUBBASE" localSheetId="4">#REF!</definedName>
    <definedName name="SUBBASE" localSheetId="8">#REF!</definedName>
    <definedName name="SUBBASE">#REF!</definedName>
    <definedName name="TABLA">[3]INSUMOS!$D$793</definedName>
    <definedName name="TANQUE" localSheetId="0">#REF!</definedName>
    <definedName name="TANQUE" localSheetId="4">#REF!</definedName>
    <definedName name="TANQUE" localSheetId="8">#REF!</definedName>
    <definedName name="TANQUE">#REF!</definedName>
    <definedName name="TERMINADORA" localSheetId="0">#REF!</definedName>
    <definedName name="TERMINADORA" localSheetId="4">#REF!</definedName>
    <definedName name="TERMINADORA" localSheetId="8">#REF!</definedName>
    <definedName name="TERMINADORA">#REF!</definedName>
    <definedName name="TEST1" localSheetId="0">#REF!</definedName>
    <definedName name="TEST1" localSheetId="4">#REF!</definedName>
    <definedName name="TEST1" localSheetId="8">#REF!</definedName>
    <definedName name="TEST1">#REF!</definedName>
    <definedName name="TOPO" localSheetId="0">#REF!</definedName>
    <definedName name="TOPO" localSheetId="4">#REF!</definedName>
    <definedName name="TOPO" localSheetId="8">#REF!</definedName>
    <definedName name="TOPO">#REF!</definedName>
    <definedName name="TRAB">[3]INSUMOS!$D$932</definedName>
    <definedName name="TUBO" localSheetId="0">#REF!</definedName>
    <definedName name="TUBO" localSheetId="4">#REF!</definedName>
    <definedName name="TUBO" localSheetId="8">#REF!</definedName>
    <definedName name="TUBO">#REF!</definedName>
    <definedName name="Unidades">[9]Unidades!$A$1:$A$65536</definedName>
    <definedName name="UTIL" localSheetId="0">#REF!</definedName>
    <definedName name="UTIL" localSheetId="4">#REF!</definedName>
    <definedName name="UTIL" localSheetId="8">#REF!</definedName>
    <definedName name="UTIL">#REF!</definedName>
    <definedName name="VIBRA">[3]INSUMOS!$D$1404</definedName>
    <definedName name="VIBRADOR" localSheetId="0">#REF!</definedName>
    <definedName name="VIBRADOR" localSheetId="4">#REF!</definedName>
    <definedName name="VIBRADOR" localSheetId="8">#REF!</definedName>
    <definedName name="VIBRADOR">#REF!</definedName>
    <definedName name="VIBRO" localSheetId="0">#REF!</definedName>
    <definedName name="VIBRO" localSheetId="4">#REF!</definedName>
    <definedName name="VIBRO" localSheetId="8">#REF!</definedName>
    <definedName name="VIBRO">#REF!</definedName>
    <definedName name="VOLQUETA" localSheetId="0">#REF!</definedName>
    <definedName name="VOLQUETA" localSheetId="4">#REF!</definedName>
    <definedName name="VOLQUETA" localSheetId="8">#REF!</definedName>
    <definedName name="VOLQUETA">#REF!</definedName>
    <definedName name="WW">#REF!</definedName>
    <definedName name="XXXXXX">#REF!</definedName>
    <definedName name="Z" localSheetId="0">[1]Insumos!#REF!</definedName>
    <definedName name="Z" localSheetId="4">[1]Insumos!#REF!</definedName>
    <definedName name="Z" localSheetId="8">[1]Insumos!#REF!</definedName>
    <definedName name="Z">[1]Insumos!#REF!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7" i="2" l="1"/>
  <c r="I55" i="2"/>
  <c r="J55" i="2" s="1"/>
  <c r="J50" i="2"/>
  <c r="I50" i="2"/>
  <c r="I42" i="2"/>
  <c r="J42" i="2" s="1"/>
  <c r="I37" i="2"/>
  <c r="J37" i="2" s="1"/>
  <c r="J32" i="2"/>
  <c r="I32" i="2"/>
  <c r="J22" i="2"/>
  <c r="I22" i="2"/>
  <c r="A1721" i="3" l="1"/>
  <c r="A1720" i="3"/>
  <c r="A1719" i="3"/>
  <c r="A1658" i="3"/>
  <c r="A1659" i="3"/>
  <c r="A1657" i="3"/>
  <c r="A1600" i="3"/>
  <c r="A1601" i="3"/>
  <c r="A1599" i="3"/>
  <c r="A1542" i="3"/>
  <c r="A1543" i="3"/>
  <c r="A1541" i="3"/>
  <c r="A1485" i="3"/>
  <c r="A1486" i="3"/>
  <c r="A1484" i="3"/>
  <c r="A1369" i="3"/>
  <c r="A1370" i="3"/>
  <c r="A1368" i="3"/>
  <c r="A1312" i="3"/>
  <c r="A1313" i="3"/>
  <c r="A1311" i="3"/>
  <c r="A1254" i="3"/>
  <c r="A1255" i="3"/>
  <c r="A1253" i="3"/>
  <c r="A1084" i="3"/>
  <c r="A1085" i="3"/>
  <c r="A1023" i="3"/>
  <c r="A1024" i="3"/>
  <c r="A969" i="3"/>
  <c r="A968" i="3"/>
  <c r="A1140" i="3" s="1"/>
  <c r="A1139" i="3"/>
  <c r="A1083" i="3"/>
  <c r="A55" i="3"/>
  <c r="A112" i="3" s="1"/>
  <c r="A170" i="3" s="1"/>
  <c r="A226" i="3" s="1"/>
  <c r="A56" i="3"/>
  <c r="A113" i="3" s="1"/>
  <c r="A171" i="3" s="1"/>
  <c r="A227" i="3" s="1"/>
  <c r="A54" i="3"/>
  <c r="A111" i="3" s="1"/>
  <c r="A169" i="3" s="1"/>
  <c r="A225" i="3" s="1"/>
  <c r="A283" i="3" s="1"/>
  <c r="A340" i="3" s="1"/>
  <c r="A398" i="3" s="1"/>
  <c r="A458" i="3" s="1"/>
  <c r="A515" i="3" s="1"/>
  <c r="A571" i="3" s="1"/>
  <c r="A626" i="3" s="1"/>
  <c r="A681" i="3" s="1"/>
  <c r="A736" i="3" s="1"/>
  <c r="A795" i="3" s="1"/>
  <c r="A853" i="3" s="1"/>
  <c r="A911" i="3" s="1"/>
  <c r="A967" i="3" s="1"/>
  <c r="A1022" i="3" s="1"/>
  <c r="A1141" i="3" l="1"/>
  <c r="A285" i="3"/>
  <c r="A342" i="3" s="1"/>
  <c r="A400" i="3" s="1"/>
  <c r="A460" i="3" s="1"/>
  <c r="A517" i="3" s="1"/>
  <c r="A573" i="3" s="1"/>
  <c r="A628" i="3" s="1"/>
  <c r="A683" i="3" s="1"/>
  <c r="A738" i="3" s="1"/>
  <c r="A797" i="3" s="1"/>
  <c r="A855" i="3" s="1"/>
  <c r="A913" i="3" s="1"/>
  <c r="A284" i="3"/>
  <c r="A341" i="3" s="1"/>
  <c r="A399" i="3" s="1"/>
  <c r="A459" i="3" s="1"/>
  <c r="A516" i="3" s="1"/>
  <c r="A572" i="3" s="1"/>
  <c r="A627" i="3" s="1"/>
  <c r="A682" i="3" s="1"/>
  <c r="A737" i="3" s="1"/>
  <c r="A796" i="3" s="1"/>
  <c r="A854" i="3" s="1"/>
  <c r="A912" i="3" s="1"/>
  <c r="D16" i="21"/>
  <c r="H16" i="23"/>
  <c r="G33" i="23"/>
  <c r="G83" i="3" l="1"/>
  <c r="G82" i="3"/>
  <c r="G81" i="3"/>
  <c r="G80" i="3"/>
  <c r="H70" i="3"/>
  <c r="B70" i="3"/>
  <c r="A70" i="3"/>
  <c r="A65" i="3"/>
  <c r="H97" i="3"/>
  <c r="E89" i="3"/>
  <c r="G89" i="3" s="1"/>
  <c r="E88" i="3"/>
  <c r="G88" i="3" s="1"/>
  <c r="J28" i="20"/>
  <c r="J26" i="20"/>
  <c r="B26" i="20"/>
  <c r="J31" i="20"/>
  <c r="J32" i="20"/>
  <c r="E16" i="21" s="1"/>
  <c r="E16" i="2" l="1"/>
  <c r="H85" i="3"/>
  <c r="H91" i="3"/>
  <c r="G74" i="3" s="1"/>
  <c r="H77" i="3" s="1"/>
  <c r="H99" i="3" s="1"/>
  <c r="F16" i="2" l="1"/>
  <c r="G16" i="2" s="1"/>
  <c r="F16" i="21"/>
  <c r="G16" i="21" s="1"/>
  <c r="I16" i="21" s="1"/>
  <c r="G105" i="3"/>
  <c r="G104" i="3"/>
  <c r="G103" i="3"/>
  <c r="H106" i="3" l="1"/>
  <c r="H108" i="3" s="1"/>
  <c r="D20" i="21" l="1"/>
  <c r="H299" i="3"/>
  <c r="B299" i="3"/>
  <c r="A299" i="3"/>
  <c r="A294" i="3"/>
  <c r="H326" i="3"/>
  <c r="E318" i="3"/>
  <c r="G318" i="3" s="1"/>
  <c r="E317" i="3"/>
  <c r="G317" i="3" s="1"/>
  <c r="G313" i="3"/>
  <c r="G312" i="3"/>
  <c r="G311" i="3"/>
  <c r="G310" i="3"/>
  <c r="G309" i="3"/>
  <c r="G304" i="3"/>
  <c r="J64" i="20"/>
  <c r="I67" i="20"/>
  <c r="B65" i="20"/>
  <c r="J68" i="20"/>
  <c r="J66" i="20"/>
  <c r="D51" i="21"/>
  <c r="D52" i="21"/>
  <c r="A51" i="21"/>
  <c r="A52" i="21"/>
  <c r="B52" i="21"/>
  <c r="B51" i="21"/>
  <c r="E54" i="2"/>
  <c r="E52" i="21" s="1"/>
  <c r="E53" i="2"/>
  <c r="E51" i="21" s="1"/>
  <c r="B336" i="20"/>
  <c r="B326" i="20"/>
  <c r="J340" i="20"/>
  <c r="J339" i="20"/>
  <c r="J338" i="20"/>
  <c r="J337" i="20"/>
  <c r="J335" i="20"/>
  <c r="J330" i="20"/>
  <c r="J329" i="20"/>
  <c r="J328" i="20"/>
  <c r="J327" i="20"/>
  <c r="J325" i="20"/>
  <c r="H1673" i="3"/>
  <c r="B1673" i="3"/>
  <c r="A1673" i="3"/>
  <c r="A1668" i="3"/>
  <c r="H1705" i="3"/>
  <c r="E1697" i="3"/>
  <c r="G1697" i="3" s="1"/>
  <c r="E1696" i="3"/>
  <c r="G1696" i="3" s="1"/>
  <c r="G1692" i="3"/>
  <c r="G1691" i="3"/>
  <c r="G1690" i="3"/>
  <c r="G1689" i="3"/>
  <c r="G1688" i="3"/>
  <c r="G1687" i="3"/>
  <c r="G1686" i="3"/>
  <c r="G1685" i="3"/>
  <c r="G1684" i="3"/>
  <c r="G1683" i="3"/>
  <c r="H1616" i="3"/>
  <c r="B1616" i="3"/>
  <c r="A1616" i="3"/>
  <c r="A1611" i="3"/>
  <c r="H1643" i="3"/>
  <c r="E1635" i="3"/>
  <c r="G1635" i="3" s="1"/>
  <c r="E1634" i="3"/>
  <c r="G1634" i="3" s="1"/>
  <c r="G1630" i="3"/>
  <c r="G1629" i="3"/>
  <c r="G1628" i="3"/>
  <c r="G1627" i="3"/>
  <c r="G1626" i="3"/>
  <c r="H314" i="3" l="1"/>
  <c r="H320" i="3"/>
  <c r="G303" i="3" s="1"/>
  <c r="H306" i="3" s="1"/>
  <c r="H1699" i="3"/>
  <c r="G1677" i="3" s="1"/>
  <c r="H1680" i="3" s="1"/>
  <c r="J343" i="20"/>
  <c r="H1693" i="3"/>
  <c r="J333" i="20"/>
  <c r="H1631" i="3"/>
  <c r="H1637" i="3"/>
  <c r="G1620" i="3" s="1"/>
  <c r="H1623" i="3" s="1"/>
  <c r="H328" i="3" l="1"/>
  <c r="G334" i="3" s="1"/>
  <c r="H1707" i="3"/>
  <c r="F54" i="2" s="1"/>
  <c r="G54" i="2" s="1"/>
  <c r="H1645" i="3"/>
  <c r="F53" i="2" s="1"/>
  <c r="F51" i="21" s="1"/>
  <c r="G51" i="21" s="1"/>
  <c r="L51" i="21" s="1"/>
  <c r="F20" i="2" l="1"/>
  <c r="F20" i="21" s="1"/>
  <c r="G332" i="3"/>
  <c r="G333" i="3"/>
  <c r="G1713" i="3"/>
  <c r="G1711" i="3"/>
  <c r="G1712" i="3"/>
  <c r="F52" i="21"/>
  <c r="G52" i="21" s="1"/>
  <c r="L52" i="21" s="1"/>
  <c r="G1651" i="3"/>
  <c r="G1650" i="3"/>
  <c r="G1649" i="3"/>
  <c r="G53" i="2"/>
  <c r="H335" i="3" l="1"/>
  <c r="H337" i="3" s="1"/>
  <c r="H1714" i="3"/>
  <c r="H1716" i="3" s="1"/>
  <c r="H1652" i="3"/>
  <c r="H1654" i="3" s="1"/>
  <c r="G134" i="3"/>
  <c r="I37" i="20" l="1"/>
  <c r="M51" i="20"/>
  <c r="M47" i="20"/>
  <c r="D50" i="21"/>
  <c r="A50" i="21"/>
  <c r="B49" i="21"/>
  <c r="J208" i="20"/>
  <c r="B209" i="20"/>
  <c r="E211" i="20"/>
  <c r="J211" i="20" s="1"/>
  <c r="J213" i="20"/>
  <c r="B313" i="20"/>
  <c r="E52" i="2"/>
  <c r="E50" i="21" s="1"/>
  <c r="J315" i="20"/>
  <c r="B316" i="20"/>
  <c r="H1558" i="3"/>
  <c r="B1558" i="3"/>
  <c r="A1558" i="3"/>
  <c r="J216" i="20" l="1"/>
  <c r="A1322" i="3"/>
  <c r="J37" i="20" l="1"/>
  <c r="A47" i="21"/>
  <c r="B47" i="21"/>
  <c r="D47" i="21"/>
  <c r="D35" i="21"/>
  <c r="D36" i="21"/>
  <c r="A35" i="21"/>
  <c r="A36" i="21"/>
  <c r="B35" i="21"/>
  <c r="B36" i="21"/>
  <c r="A40" i="21"/>
  <c r="B284" i="20" l="1"/>
  <c r="H1500" i="3"/>
  <c r="B1500" i="3"/>
  <c r="A1500" i="3"/>
  <c r="H1527" i="3"/>
  <c r="E1519" i="3"/>
  <c r="G1519" i="3" s="1"/>
  <c r="E1518" i="3"/>
  <c r="G1518" i="3" s="1"/>
  <c r="G1510" i="3"/>
  <c r="H1515" i="3" s="1"/>
  <c r="B304" i="20"/>
  <c r="J308" i="20"/>
  <c r="J307" i="20"/>
  <c r="J306" i="20"/>
  <c r="J305" i="20"/>
  <c r="J303" i="20"/>
  <c r="J311" i="20" l="1"/>
  <c r="E49" i="2" s="1"/>
  <c r="H1521" i="3"/>
  <c r="G1504" i="3" s="1"/>
  <c r="H1507" i="3" s="1"/>
  <c r="H1529" i="3" s="1"/>
  <c r="G1535" i="3" l="1"/>
  <c r="F49" i="2"/>
  <c r="F47" i="21" s="1"/>
  <c r="E47" i="21"/>
  <c r="G1533" i="3"/>
  <c r="G1534" i="3"/>
  <c r="H1536" i="3" l="1"/>
  <c r="H1538" i="3" s="1"/>
  <c r="G47" i="21"/>
  <c r="L47" i="21" s="1"/>
  <c r="G49" i="2"/>
  <c r="A1197" i="3"/>
  <c r="A1198" i="3"/>
  <c r="A1196" i="3"/>
  <c r="H1155" i="3"/>
  <c r="B1155" i="3"/>
  <c r="A1155" i="3"/>
  <c r="H1182" i="3"/>
  <c r="E1174" i="3"/>
  <c r="G1174" i="3" s="1"/>
  <c r="E1173" i="3"/>
  <c r="G1173" i="3" s="1"/>
  <c r="G1166" i="3"/>
  <c r="G1165" i="3"/>
  <c r="G1160" i="3"/>
  <c r="B241" i="20"/>
  <c r="J240" i="20"/>
  <c r="J242" i="20"/>
  <c r="J245" i="20"/>
  <c r="J244" i="20"/>
  <c r="G381" i="3"/>
  <c r="G1107" i="3"/>
  <c r="G1106" i="3"/>
  <c r="H161" i="20"/>
  <c r="J161" i="20" s="1"/>
  <c r="J248" i="20" l="1"/>
  <c r="E41" i="2" s="1"/>
  <c r="E40" i="21" s="1"/>
  <c r="H1170" i="3"/>
  <c r="H1176" i="3"/>
  <c r="G1159" i="3" s="1"/>
  <c r="H1162" i="3" s="1"/>
  <c r="H1184" i="3" l="1"/>
  <c r="F41" i="2" s="1"/>
  <c r="F40" i="21" s="1"/>
  <c r="G40" i="21" s="1"/>
  <c r="I40" i="21" s="1"/>
  <c r="G1188" i="3" l="1"/>
  <c r="G1190" i="3"/>
  <c r="G1189" i="3"/>
  <c r="G41" i="2"/>
  <c r="H1191" i="3" l="1"/>
  <c r="H1193" i="3" s="1"/>
  <c r="J224" i="20"/>
  <c r="J223" i="20"/>
  <c r="G1055" i="3"/>
  <c r="G1054" i="3"/>
  <c r="G1053" i="3"/>
  <c r="G1052" i="3"/>
  <c r="G1051" i="3"/>
  <c r="G1050" i="3"/>
  <c r="G1045" i="3"/>
  <c r="G1044" i="3"/>
  <c r="G1043" i="3"/>
  <c r="D143" i="20" l="1"/>
  <c r="G247" i="3" l="1"/>
  <c r="E265" i="20" l="1"/>
  <c r="H265" i="20" s="1"/>
  <c r="J265" i="20" s="1"/>
  <c r="E264" i="20"/>
  <c r="H264" i="20" s="1"/>
  <c r="J264" i="20" s="1"/>
  <c r="E255" i="20"/>
  <c r="H255" i="20" s="1"/>
  <c r="E254" i="20"/>
  <c r="H254" i="20" s="1"/>
  <c r="H160" i="20"/>
  <c r="D89" i="20"/>
  <c r="D98" i="20" s="1"/>
  <c r="I98" i="20" s="1"/>
  <c r="H58" i="20"/>
  <c r="J58" i="20" s="1"/>
  <c r="H47" i="20"/>
  <c r="I47" i="20" s="1"/>
  <c r="J47" i="20" s="1"/>
  <c r="D151" i="20" l="1"/>
  <c r="J151" i="20" s="1"/>
  <c r="J155" i="20" s="1"/>
  <c r="E30" i="2" s="1"/>
  <c r="D107" i="20"/>
  <c r="D117" i="20" s="1"/>
  <c r="D137" i="20" s="1"/>
  <c r="G936" i="3"/>
  <c r="G991" i="3"/>
  <c r="J198" i="20"/>
  <c r="B199" i="20"/>
  <c r="H980" i="3"/>
  <c r="B980" i="3"/>
  <c r="A980" i="3"/>
  <c r="E796" i="3"/>
  <c r="E854" i="3" s="1"/>
  <c r="E912" i="3" s="1"/>
  <c r="E968" i="3" s="1"/>
  <c r="E1023" i="3" s="1"/>
  <c r="E1084" i="3" s="1"/>
  <c r="E797" i="3"/>
  <c r="E855" i="3" s="1"/>
  <c r="E913" i="3" s="1"/>
  <c r="E795" i="3"/>
  <c r="E853" i="3" s="1"/>
  <c r="E911" i="3" s="1"/>
  <c r="H925" i="3"/>
  <c r="B925" i="3"/>
  <c r="A925" i="3"/>
  <c r="A637" i="3"/>
  <c r="A692" i="3" s="1"/>
  <c r="A748" i="3" s="1"/>
  <c r="A807" i="3" s="1"/>
  <c r="A865" i="3" s="1"/>
  <c r="E998" i="3"/>
  <c r="G998" i="3" s="1"/>
  <c r="E999" i="3"/>
  <c r="G999" i="3" s="1"/>
  <c r="G990" i="3"/>
  <c r="G992" i="3"/>
  <c r="H1007" i="3"/>
  <c r="E943" i="3"/>
  <c r="G943" i="3" s="1"/>
  <c r="E944" i="3"/>
  <c r="G944" i="3" s="1"/>
  <c r="G935" i="3"/>
  <c r="G937" i="3"/>
  <c r="H952" i="3"/>
  <c r="A1037" i="3"/>
  <c r="B1037" i="3"/>
  <c r="H1037" i="3"/>
  <c r="E1059" i="3"/>
  <c r="G1059" i="3" s="1"/>
  <c r="E1060" i="3"/>
  <c r="G1060" i="3" s="1"/>
  <c r="G1042" i="3"/>
  <c r="H1056" i="3"/>
  <c r="H1068" i="3"/>
  <c r="H51" i="23"/>
  <c r="G820" i="3"/>
  <c r="D46" i="21"/>
  <c r="B46" i="21"/>
  <c r="A45" i="21"/>
  <c r="A46" i="21"/>
  <c r="B44" i="21"/>
  <c r="B43" i="21"/>
  <c r="B42" i="21"/>
  <c r="D42" i="21"/>
  <c r="D43" i="21"/>
  <c r="D44" i="21"/>
  <c r="D45" i="21"/>
  <c r="B45" i="21"/>
  <c r="D38" i="21"/>
  <c r="D39" i="21"/>
  <c r="B38" i="21"/>
  <c r="B39" i="21"/>
  <c r="B34" i="21"/>
  <c r="D34" i="21"/>
  <c r="A34" i="21"/>
  <c r="D27" i="21"/>
  <c r="D28" i="21"/>
  <c r="D29" i="21"/>
  <c r="D30" i="21"/>
  <c r="D31" i="21"/>
  <c r="D26" i="21"/>
  <c r="D25" i="21"/>
  <c r="A31" i="21"/>
  <c r="A26" i="21"/>
  <c r="A27" i="21"/>
  <c r="A28" i="21"/>
  <c r="A29" i="21"/>
  <c r="A30" i="21"/>
  <c r="A25" i="21"/>
  <c r="B31" i="21"/>
  <c r="B25" i="21"/>
  <c r="B26" i="21"/>
  <c r="B27" i="21"/>
  <c r="B28" i="21"/>
  <c r="B29" i="21"/>
  <c r="B30" i="21"/>
  <c r="B24" i="21"/>
  <c r="D17" i="21"/>
  <c r="D18" i="21"/>
  <c r="D19" i="21"/>
  <c r="D21" i="21"/>
  <c r="B17" i="21"/>
  <c r="B18" i="21"/>
  <c r="B19" i="21"/>
  <c r="B21" i="21"/>
  <c r="A17" i="21"/>
  <c r="A18" i="21"/>
  <c r="A19" i="21"/>
  <c r="A21" i="21"/>
  <c r="J293" i="20"/>
  <c r="B294" i="20"/>
  <c r="J298" i="20"/>
  <c r="J297" i="20"/>
  <c r="J296" i="20"/>
  <c r="J295" i="20"/>
  <c r="J283" i="20"/>
  <c r="J273" i="20"/>
  <c r="B274" i="20"/>
  <c r="J255" i="20"/>
  <c r="J254" i="20"/>
  <c r="J252" i="20"/>
  <c r="J230" i="20"/>
  <c r="J220" i="20"/>
  <c r="J222" i="20"/>
  <c r="H201" i="20"/>
  <c r="J201" i="20" s="1"/>
  <c r="J200" i="20"/>
  <c r="H192" i="20"/>
  <c r="J192" i="20" s="1"/>
  <c r="J191" i="20"/>
  <c r="J189" i="20"/>
  <c r="B190" i="20"/>
  <c r="J160" i="20"/>
  <c r="J157" i="20"/>
  <c r="B158" i="20"/>
  <c r="J148" i="20"/>
  <c r="B149" i="20"/>
  <c r="I143" i="20"/>
  <c r="J143" i="20" s="1"/>
  <c r="J139" i="20"/>
  <c r="E140" i="20"/>
  <c r="D141" i="20" s="1"/>
  <c r="I141" i="20" s="1"/>
  <c r="J141" i="20" s="1"/>
  <c r="E137" i="20"/>
  <c r="J133" i="20"/>
  <c r="B134" i="20"/>
  <c r="I126" i="20"/>
  <c r="J126" i="20" s="1"/>
  <c r="J123" i="20"/>
  <c r="B124" i="20"/>
  <c r="J114" i="20"/>
  <c r="B115" i="20"/>
  <c r="J104" i="20"/>
  <c r="B105" i="20"/>
  <c r="B96" i="20"/>
  <c r="J95" i="20"/>
  <c r="J98" i="20"/>
  <c r="I89" i="20"/>
  <c r="J89" i="20" s="1"/>
  <c r="J86" i="20"/>
  <c r="J74" i="20"/>
  <c r="B75" i="20"/>
  <c r="H57" i="20"/>
  <c r="J57" i="20" s="1"/>
  <c r="J54" i="20"/>
  <c r="B54" i="20"/>
  <c r="J44" i="20"/>
  <c r="B44" i="20"/>
  <c r="J35" i="20"/>
  <c r="B35" i="20"/>
  <c r="F128" i="26"/>
  <c r="F127" i="26"/>
  <c r="F125" i="26"/>
  <c r="G125" i="26" s="1"/>
  <c r="H129" i="26" s="1"/>
  <c r="E121" i="26"/>
  <c r="G121" i="26" s="1"/>
  <c r="F24" i="26"/>
  <c r="G24" i="26"/>
  <c r="E19" i="26"/>
  <c r="G19" i="26"/>
  <c r="M121" i="26"/>
  <c r="M120" i="26"/>
  <c r="E120" i="26" s="1"/>
  <c r="G120" i="26" s="1"/>
  <c r="M70" i="26"/>
  <c r="M69" i="26"/>
  <c r="M20" i="26"/>
  <c r="E20" i="26" s="1"/>
  <c r="G20" i="26" s="1"/>
  <c r="M19" i="26"/>
  <c r="E121" i="25"/>
  <c r="G121" i="25" s="1"/>
  <c r="M121" i="25"/>
  <c r="M120" i="25"/>
  <c r="E120" i="25" s="1"/>
  <c r="G120" i="25" s="1"/>
  <c r="H122" i="25" s="1"/>
  <c r="M70" i="25"/>
  <c r="M69" i="25"/>
  <c r="E19" i="25"/>
  <c r="G19" i="25" s="1"/>
  <c r="M20" i="25"/>
  <c r="E20" i="25" s="1"/>
  <c r="G20" i="25" s="1"/>
  <c r="M19" i="25"/>
  <c r="F76" i="25"/>
  <c r="F74" i="25"/>
  <c r="F27" i="25"/>
  <c r="F26" i="25"/>
  <c r="G26" i="25" s="1"/>
  <c r="M127" i="26"/>
  <c r="M126" i="26"/>
  <c r="M125" i="26"/>
  <c r="M75" i="26"/>
  <c r="M74" i="26"/>
  <c r="F76" i="26" s="1"/>
  <c r="G76" i="26" s="1"/>
  <c r="M73" i="26"/>
  <c r="F74" i="26" s="1"/>
  <c r="G74" i="26" s="1"/>
  <c r="H78" i="26" s="1"/>
  <c r="H88" i="26" s="1"/>
  <c r="M25" i="26"/>
  <c r="F27" i="26" s="1"/>
  <c r="G27" i="26" s="1"/>
  <c r="M24" i="26"/>
  <c r="F26" i="26" s="1"/>
  <c r="G26" i="26" s="1"/>
  <c r="H28" i="26" s="1"/>
  <c r="A153" i="26"/>
  <c r="A152" i="26"/>
  <c r="A151" i="26"/>
  <c r="H137" i="26"/>
  <c r="H133" i="26"/>
  <c r="G128" i="26"/>
  <c r="G127" i="26"/>
  <c r="G126" i="26"/>
  <c r="A110" i="26"/>
  <c r="A102" i="26"/>
  <c r="A101" i="26"/>
  <c r="A100" i="26"/>
  <c r="H86" i="26"/>
  <c r="H82" i="26"/>
  <c r="G75" i="26"/>
  <c r="H71" i="26"/>
  <c r="A59" i="26"/>
  <c r="A52" i="26"/>
  <c r="A51" i="26"/>
  <c r="A50" i="26"/>
  <c r="H36" i="26"/>
  <c r="H32" i="26"/>
  <c r="G25" i="26"/>
  <c r="M23" i="26"/>
  <c r="A7" i="26"/>
  <c r="M127" i="25"/>
  <c r="F128" i="25" s="1"/>
  <c r="G128" i="25" s="1"/>
  <c r="M126" i="25"/>
  <c r="F127" i="25" s="1"/>
  <c r="G127" i="25" s="1"/>
  <c r="M125" i="25"/>
  <c r="F125" i="25" s="1"/>
  <c r="G125" i="25" s="1"/>
  <c r="H129" i="25" s="1"/>
  <c r="M75" i="25"/>
  <c r="M74" i="25"/>
  <c r="M73" i="25"/>
  <c r="M23" i="25"/>
  <c r="F24" i="25" s="1"/>
  <c r="G24" i="25" s="1"/>
  <c r="H28" i="25" s="1"/>
  <c r="M25" i="25"/>
  <c r="M24" i="25"/>
  <c r="A153" i="25"/>
  <c r="A152" i="25"/>
  <c r="A151" i="25"/>
  <c r="H137" i="25"/>
  <c r="H133" i="25"/>
  <c r="G126" i="25"/>
  <c r="A110" i="25"/>
  <c r="A102" i="25"/>
  <c r="A101" i="25"/>
  <c r="A100" i="25"/>
  <c r="H86" i="25"/>
  <c r="H82" i="25"/>
  <c r="G76" i="25"/>
  <c r="G75" i="25"/>
  <c r="G74" i="25"/>
  <c r="H71" i="25"/>
  <c r="A59" i="25"/>
  <c r="A52" i="25"/>
  <c r="A51" i="25"/>
  <c r="A50" i="25"/>
  <c r="H36" i="25"/>
  <c r="H32" i="25"/>
  <c r="G27" i="25"/>
  <c r="G25" i="25"/>
  <c r="A7" i="25"/>
  <c r="A1427" i="3"/>
  <c r="A1428" i="3"/>
  <c r="A1426" i="3"/>
  <c r="H1385" i="3"/>
  <c r="B1385" i="3"/>
  <c r="A1385" i="3"/>
  <c r="A1380" i="3"/>
  <c r="H1412" i="3"/>
  <c r="E1404" i="3"/>
  <c r="G1404" i="3" s="1"/>
  <c r="E1403" i="3"/>
  <c r="G1403" i="3" s="1"/>
  <c r="G1395" i="3"/>
  <c r="H1400" i="3" s="1"/>
  <c r="G1453" i="3"/>
  <c r="H1458" i="3" s="1"/>
  <c r="H78" i="25"/>
  <c r="H88" i="25" s="1"/>
  <c r="H357" i="3"/>
  <c r="B357" i="3"/>
  <c r="A357" i="3"/>
  <c r="H474" i="3"/>
  <c r="B474" i="3"/>
  <c r="A474" i="3"/>
  <c r="H417" i="3"/>
  <c r="B417" i="3"/>
  <c r="A417" i="3"/>
  <c r="E284" i="3"/>
  <c r="E341" i="3" s="1"/>
  <c r="E285" i="3"/>
  <c r="E342" i="3" s="1"/>
  <c r="E283" i="3"/>
  <c r="E340" i="3" s="1"/>
  <c r="H242" i="3"/>
  <c r="B242" i="3"/>
  <c r="A242" i="3"/>
  <c r="A237" i="3"/>
  <c r="H269" i="3"/>
  <c r="E261" i="3"/>
  <c r="G261" i="3" s="1"/>
  <c r="E260" i="3"/>
  <c r="G260" i="3" s="1"/>
  <c r="G256" i="3"/>
  <c r="G255" i="3"/>
  <c r="G254" i="3"/>
  <c r="G253" i="3"/>
  <c r="G252" i="3"/>
  <c r="E226" i="3"/>
  <c r="E227" i="3"/>
  <c r="E225" i="3"/>
  <c r="H183" i="3"/>
  <c r="B183" i="3"/>
  <c r="A183" i="3"/>
  <c r="H210" i="3"/>
  <c r="E202" i="3"/>
  <c r="G202" i="3" s="1"/>
  <c r="E201" i="3"/>
  <c r="G201" i="3" s="1"/>
  <c r="G194" i="3"/>
  <c r="G193" i="3"/>
  <c r="G188" i="3"/>
  <c r="G133" i="3"/>
  <c r="E170" i="3"/>
  <c r="E171" i="3"/>
  <c r="E113" i="3" s="1"/>
  <c r="E169" i="3"/>
  <c r="H128" i="3"/>
  <c r="B128" i="3"/>
  <c r="A128" i="3"/>
  <c r="A123" i="3"/>
  <c r="A181" i="3" s="1"/>
  <c r="H155" i="3"/>
  <c r="E147" i="3"/>
  <c r="G147" i="3" s="1"/>
  <c r="E146" i="3"/>
  <c r="G146" i="3" s="1"/>
  <c r="G142" i="3"/>
  <c r="G141" i="3"/>
  <c r="G140" i="3"/>
  <c r="G139" i="3"/>
  <c r="G138" i="3"/>
  <c r="E1576" i="3"/>
  <c r="G1576" i="3" s="1"/>
  <c r="E1577" i="3"/>
  <c r="G1577" i="3" s="1"/>
  <c r="G1568" i="3"/>
  <c r="G1572" i="3"/>
  <c r="H1585" i="3"/>
  <c r="E1230" i="3"/>
  <c r="G1230" i="3" s="1"/>
  <c r="E1231" i="3"/>
  <c r="G1231" i="3" s="1"/>
  <c r="G1222" i="3"/>
  <c r="G1223" i="3"/>
  <c r="G1224" i="3"/>
  <c r="H1239" i="3"/>
  <c r="E1288" i="3"/>
  <c r="G1288" i="3" s="1"/>
  <c r="E1289" i="3"/>
  <c r="G1289" i="3" s="1"/>
  <c r="G1280" i="3"/>
  <c r="G1281" i="3"/>
  <c r="G1282" i="3"/>
  <c r="H1297" i="3"/>
  <c r="E1345" i="3"/>
  <c r="G1345" i="3" s="1"/>
  <c r="E1346" i="3"/>
  <c r="G1346" i="3" s="1"/>
  <c r="G1337" i="3"/>
  <c r="H1342" i="3" s="1"/>
  <c r="H1354" i="3"/>
  <c r="E1461" i="3"/>
  <c r="G1461" i="3" s="1"/>
  <c r="E1462" i="3"/>
  <c r="G1462" i="3" s="1"/>
  <c r="H1470" i="3"/>
  <c r="E1115" i="3"/>
  <c r="G1115" i="3" s="1"/>
  <c r="E1116" i="3"/>
  <c r="G1116" i="3" s="1"/>
  <c r="G1101" i="3"/>
  <c r="G1108" i="3"/>
  <c r="G1109" i="3"/>
  <c r="G1110" i="3"/>
  <c r="H1124" i="3"/>
  <c r="G878" i="3"/>
  <c r="G879" i="3"/>
  <c r="G880" i="3"/>
  <c r="G881" i="3"/>
  <c r="G882" i="3"/>
  <c r="E887" i="3"/>
  <c r="G887" i="3" s="1"/>
  <c r="E888" i="3"/>
  <c r="G888" i="3" s="1"/>
  <c r="H896" i="3"/>
  <c r="G540" i="3"/>
  <c r="G541" i="3"/>
  <c r="G542" i="3"/>
  <c r="G543" i="3"/>
  <c r="E547" i="3"/>
  <c r="G547" i="3" s="1"/>
  <c r="E548" i="3"/>
  <c r="G548" i="3" s="1"/>
  <c r="H556" i="3"/>
  <c r="G595" i="3"/>
  <c r="G596" i="3"/>
  <c r="G597" i="3"/>
  <c r="G598" i="3"/>
  <c r="E602" i="3"/>
  <c r="G602" i="3" s="1"/>
  <c r="E603" i="3"/>
  <c r="G603" i="3" s="1"/>
  <c r="H611" i="3"/>
  <c r="G650" i="3"/>
  <c r="G651" i="3"/>
  <c r="G652" i="3"/>
  <c r="G653" i="3"/>
  <c r="E657" i="3"/>
  <c r="G657" i="3" s="1"/>
  <c r="E658" i="3"/>
  <c r="G658" i="3" s="1"/>
  <c r="H666" i="3"/>
  <c r="E712" i="3"/>
  <c r="G712" i="3" s="1"/>
  <c r="E713" i="3"/>
  <c r="G713" i="3" s="1"/>
  <c r="G699" i="3"/>
  <c r="G704" i="3"/>
  <c r="G705" i="3"/>
  <c r="H721" i="3"/>
  <c r="G761" i="3"/>
  <c r="G762" i="3"/>
  <c r="G763" i="3"/>
  <c r="G764" i="3"/>
  <c r="G765" i="3"/>
  <c r="G766" i="3"/>
  <c r="E771" i="3"/>
  <c r="G771" i="3" s="1"/>
  <c r="E772" i="3"/>
  <c r="G772" i="3" s="1"/>
  <c r="G755" i="3"/>
  <c r="H780" i="3"/>
  <c r="G821" i="3"/>
  <c r="G822" i="3"/>
  <c r="G823" i="3"/>
  <c r="G824" i="3"/>
  <c r="E829" i="3"/>
  <c r="G829" i="3" s="1"/>
  <c r="E830" i="3"/>
  <c r="G830" i="3" s="1"/>
  <c r="H838" i="3"/>
  <c r="E435" i="3"/>
  <c r="G435" i="3" s="1"/>
  <c r="E436" i="3"/>
  <c r="G436" i="3" s="1"/>
  <c r="G427" i="3"/>
  <c r="G428" i="3"/>
  <c r="G429" i="3"/>
  <c r="H444" i="3"/>
  <c r="E492" i="3"/>
  <c r="G492" i="3" s="1"/>
  <c r="E493" i="3"/>
  <c r="G493" i="3" s="1"/>
  <c r="G484" i="3"/>
  <c r="G485" i="3"/>
  <c r="G486" i="3"/>
  <c r="H501" i="3"/>
  <c r="G368" i="3"/>
  <c r="G369" i="3"/>
  <c r="E375" i="3"/>
  <c r="G375" i="3" s="1"/>
  <c r="E376" i="3"/>
  <c r="G376" i="3" s="1"/>
  <c r="H384" i="3"/>
  <c r="E31" i="3"/>
  <c r="G31" i="3" s="1"/>
  <c r="E32" i="3"/>
  <c r="G32" i="3" s="1"/>
  <c r="G23" i="3"/>
  <c r="G24" i="3"/>
  <c r="G25" i="3"/>
  <c r="H40" i="3"/>
  <c r="J171" i="20"/>
  <c r="J174" i="20"/>
  <c r="J181" i="20"/>
  <c r="J183" i="20"/>
  <c r="J184" i="20"/>
  <c r="A42" i="21"/>
  <c r="A43" i="21"/>
  <c r="A44" i="21"/>
  <c r="B41" i="21"/>
  <c r="A38" i="21"/>
  <c r="A39" i="21"/>
  <c r="B37" i="21"/>
  <c r="B33" i="21"/>
  <c r="J318" i="20"/>
  <c r="H17" i="20"/>
  <c r="J17" i="20" s="1"/>
  <c r="H18" i="20"/>
  <c r="J18" i="20" s="1"/>
  <c r="J22" i="20"/>
  <c r="J40" i="20"/>
  <c r="E172" i="20"/>
  <c r="E182" i="20" s="1"/>
  <c r="E173" i="20"/>
  <c r="H173" i="20" s="1"/>
  <c r="J173" i="20" s="1"/>
  <c r="J48" i="20"/>
  <c r="J67" i="20" s="1"/>
  <c r="J71" i="20" s="1"/>
  <c r="E20" i="2" s="1"/>
  <c r="J49" i="20"/>
  <c r="J50" i="20"/>
  <c r="J60" i="20"/>
  <c r="J76" i="20"/>
  <c r="J78" i="20"/>
  <c r="J88" i="20"/>
  <c r="J97" i="20"/>
  <c r="J106" i="20"/>
  <c r="J108" i="20"/>
  <c r="J109" i="20"/>
  <c r="J116" i="20"/>
  <c r="J118" i="20"/>
  <c r="J125" i="20"/>
  <c r="J127" i="20"/>
  <c r="J128" i="20"/>
  <c r="J135" i="20"/>
  <c r="F172" i="20"/>
  <c r="F182" i="20" s="1"/>
  <c r="J225" i="20"/>
  <c r="J234" i="20"/>
  <c r="J235" i="20"/>
  <c r="J268" i="20"/>
  <c r="J275" i="20"/>
  <c r="J276" i="20"/>
  <c r="J277" i="20"/>
  <c r="J278" i="20"/>
  <c r="J285" i="20"/>
  <c r="J286" i="20"/>
  <c r="J287" i="20"/>
  <c r="J288" i="20"/>
  <c r="J317" i="20"/>
  <c r="J319" i="20"/>
  <c r="J320" i="20"/>
  <c r="H1443" i="3"/>
  <c r="B1443" i="3"/>
  <c r="A1443" i="3"/>
  <c r="H1327" i="3"/>
  <c r="B1327" i="3"/>
  <c r="A1327" i="3"/>
  <c r="H1270" i="3"/>
  <c r="B1270" i="3"/>
  <c r="A1270" i="3"/>
  <c r="H1212" i="3"/>
  <c r="B1212" i="3"/>
  <c r="A1212" i="3"/>
  <c r="H1096" i="3"/>
  <c r="B1096" i="3"/>
  <c r="A1096" i="3"/>
  <c r="H867" i="3"/>
  <c r="B867" i="3"/>
  <c r="A867" i="3"/>
  <c r="H809" i="3"/>
  <c r="B809" i="3"/>
  <c r="A809" i="3"/>
  <c r="H750" i="3"/>
  <c r="B750" i="3"/>
  <c r="A750" i="3"/>
  <c r="E737" i="3"/>
  <c r="E738" i="3"/>
  <c r="E736" i="3"/>
  <c r="H694" i="3"/>
  <c r="B694" i="3"/>
  <c r="A694" i="3"/>
  <c r="H639" i="3"/>
  <c r="B639" i="3"/>
  <c r="A639" i="3"/>
  <c r="H584" i="3"/>
  <c r="B584" i="3"/>
  <c r="A584" i="3"/>
  <c r="H529" i="3"/>
  <c r="B529" i="3"/>
  <c r="A529" i="3"/>
  <c r="H13" i="3"/>
  <c r="B13" i="3"/>
  <c r="A13" i="3"/>
  <c r="B263" i="20"/>
  <c r="B253" i="20"/>
  <c r="B250" i="20"/>
  <c r="B231" i="20"/>
  <c r="B221" i="20"/>
  <c r="B218" i="20"/>
  <c r="B180" i="20"/>
  <c r="B170" i="20"/>
  <c r="B167" i="20"/>
  <c r="B87" i="20"/>
  <c r="B15" i="20"/>
  <c r="B84" i="20"/>
  <c r="B13" i="20"/>
  <c r="A412" i="3"/>
  <c r="E460" i="3"/>
  <c r="E459" i="3"/>
  <c r="E458" i="3"/>
  <c r="D15" i="21"/>
  <c r="A15" i="21"/>
  <c r="B15" i="21"/>
  <c r="B14" i="21"/>
  <c r="E55" i="3"/>
  <c r="E112" i="3" s="1"/>
  <c r="D350" i="20" s="1"/>
  <c r="E54" i="3"/>
  <c r="E111" i="3" s="1"/>
  <c r="D349" i="20" s="1"/>
  <c r="A8" i="3"/>
  <c r="E683" i="3"/>
  <c r="E682" i="3"/>
  <c r="E681" i="3"/>
  <c r="A61" i="23"/>
  <c r="A60" i="23"/>
  <c r="A59" i="23"/>
  <c r="D24" i="21"/>
  <c r="A24" i="21"/>
  <c r="B23" i="21"/>
  <c r="E628" i="3"/>
  <c r="E627" i="3"/>
  <c r="E626" i="3"/>
  <c r="A582" i="3"/>
  <c r="E573" i="3"/>
  <c r="E572" i="3"/>
  <c r="E571" i="3"/>
  <c r="A527" i="3"/>
  <c r="E400" i="3"/>
  <c r="E399" i="3"/>
  <c r="E398" i="3"/>
  <c r="A352" i="3"/>
  <c r="E517" i="3"/>
  <c r="E516" i="3"/>
  <c r="E515" i="3"/>
  <c r="A469" i="3"/>
  <c r="B8" i="13"/>
  <c r="A8" i="23"/>
  <c r="A8" i="21"/>
  <c r="B8" i="20"/>
  <c r="F43" i="23"/>
  <c r="F38" i="23"/>
  <c r="F51" i="23"/>
  <c r="E15" i="23"/>
  <c r="B18" i="23" s="1"/>
  <c r="E18" i="23" s="1"/>
  <c r="E67" i="21"/>
  <c r="E66" i="21"/>
  <c r="E65" i="21"/>
  <c r="D46" i="1"/>
  <c r="G33" i="1"/>
  <c r="K32" i="1" s="1"/>
  <c r="D21" i="1"/>
  <c r="H21" i="1" s="1"/>
  <c r="K20" i="1" s="1"/>
  <c r="H19" i="1"/>
  <c r="H27" i="1"/>
  <c r="D43" i="1"/>
  <c r="K43" i="1" s="1"/>
  <c r="K46" i="1"/>
  <c r="K45" i="1"/>
  <c r="D44" i="1"/>
  <c r="K44" i="1"/>
  <c r="D42" i="1"/>
  <c r="K42" i="1" s="1"/>
  <c r="G31" i="1"/>
  <c r="K30" i="1" s="1"/>
  <c r="K40" i="1"/>
  <c r="D41" i="1"/>
  <c r="K41" i="1"/>
  <c r="D39" i="1"/>
  <c r="K39" i="1"/>
  <c r="D38" i="1"/>
  <c r="K38" i="1" s="1"/>
  <c r="D36" i="1"/>
  <c r="K36" i="1" s="1"/>
  <c r="D37" i="1"/>
  <c r="K37" i="1"/>
  <c r="B12" i="1"/>
  <c r="B15" i="1"/>
  <c r="B17" i="1" s="1"/>
  <c r="B19" i="1" s="1"/>
  <c r="B21" i="1" s="1"/>
  <c r="B23" i="1" s="1"/>
  <c r="B25" i="1" s="1"/>
  <c r="B27" i="1" s="1"/>
  <c r="B29" i="1" s="1"/>
  <c r="B31" i="1" s="1"/>
  <c r="B33" i="1" s="1"/>
  <c r="F29" i="16"/>
  <c r="B29" i="16"/>
  <c r="B58" i="1"/>
  <c r="B36" i="16" s="1"/>
  <c r="A19" i="16"/>
  <c r="D24" i="16"/>
  <c r="E24" i="16"/>
  <c r="D23" i="16"/>
  <c r="B49" i="1"/>
  <c r="B47" i="1"/>
  <c r="B35" i="1"/>
  <c r="K50" i="1"/>
  <c r="K49" i="1"/>
  <c r="K48" i="1"/>
  <c r="K47" i="1"/>
  <c r="D22" i="16"/>
  <c r="E23" i="16"/>
  <c r="D58" i="15"/>
  <c r="D57" i="15"/>
  <c r="D56" i="15"/>
  <c r="B39" i="13"/>
  <c r="B38" i="13"/>
  <c r="B37" i="13"/>
  <c r="E58" i="1"/>
  <c r="F36" i="16" s="1"/>
  <c r="E57" i="1"/>
  <c r="F35" i="16" s="1"/>
  <c r="E56" i="1"/>
  <c r="F34" i="16" s="1"/>
  <c r="B57" i="1"/>
  <c r="B35" i="16" s="1"/>
  <c r="B56" i="1"/>
  <c r="B34" i="16" s="1"/>
  <c r="A57" i="15"/>
  <c r="A56" i="15"/>
  <c r="A58" i="15"/>
  <c r="A6" i="1"/>
  <c r="A7" i="15"/>
  <c r="H15" i="1"/>
  <c r="E22" i="16"/>
  <c r="F32" i="15"/>
  <c r="E13" i="16"/>
  <c r="D13" i="16"/>
  <c r="K18" i="1"/>
  <c r="D12" i="16"/>
  <c r="E12" i="16"/>
  <c r="H29" i="1"/>
  <c r="K24" i="1"/>
  <c r="K16" i="1"/>
  <c r="D18" i="16"/>
  <c r="G12" i="1"/>
  <c r="K11" i="1"/>
  <c r="G10" i="1"/>
  <c r="K9" i="1" s="1"/>
  <c r="D15" i="16"/>
  <c r="D11" i="16"/>
  <c r="D19" i="16"/>
  <c r="G26" i="15"/>
  <c r="G25" i="15"/>
  <c r="H40" i="15"/>
  <c r="E32" i="15"/>
  <c r="G32" i="15" s="1"/>
  <c r="H34" i="15" s="1"/>
  <c r="G14" i="15" s="1"/>
  <c r="H20" i="15" s="1"/>
  <c r="E31" i="15"/>
  <c r="G31" i="15"/>
  <c r="G24" i="15"/>
  <c r="G23" i="15"/>
  <c r="H28" i="15" s="1"/>
  <c r="E15" i="16"/>
  <c r="E19" i="16"/>
  <c r="E18" i="16"/>
  <c r="G13" i="13"/>
  <c r="G30" i="13"/>
  <c r="G32" i="13"/>
  <c r="G33" i="13" s="1"/>
  <c r="E17" i="16"/>
  <c r="E14" i="16"/>
  <c r="E16" i="16"/>
  <c r="E11" i="16"/>
  <c r="K28" i="1"/>
  <c r="K14" i="1"/>
  <c r="K26" i="1"/>
  <c r="K22" i="1"/>
  <c r="D17" i="16"/>
  <c r="D14" i="16"/>
  <c r="D16" i="16"/>
  <c r="F16" i="16" s="1"/>
  <c r="H16" i="16" s="1"/>
  <c r="H25" i="16" s="1"/>
  <c r="D7" i="16"/>
  <c r="E7" i="16"/>
  <c r="H46" i="20"/>
  <c r="I46" i="20" s="1"/>
  <c r="J46" i="20" s="1"/>
  <c r="H232" i="20" s="1"/>
  <c r="J232" i="20" s="1"/>
  <c r="D10" i="16"/>
  <c r="G367" i="3"/>
  <c r="E10" i="16"/>
  <c r="E56" i="3" l="1"/>
  <c r="D351" i="20"/>
  <c r="G20" i="2"/>
  <c r="E20" i="21"/>
  <c r="G20" i="21" s="1"/>
  <c r="I20" i="21" s="1"/>
  <c r="I137" i="20"/>
  <c r="J137" i="20" s="1"/>
  <c r="F14" i="16"/>
  <c r="G14" i="16" s="1"/>
  <c r="F17" i="16"/>
  <c r="H17" i="16" s="1"/>
  <c r="G92" i="25"/>
  <c r="F539" i="3"/>
  <c r="G539" i="3" s="1"/>
  <c r="H544" i="3" s="1"/>
  <c r="H95" i="25"/>
  <c r="G91" i="25"/>
  <c r="H93" i="25" s="1"/>
  <c r="H42" i="15"/>
  <c r="H139" i="25"/>
  <c r="H21" i="25"/>
  <c r="H38" i="25" s="1"/>
  <c r="G92" i="26"/>
  <c r="G91" i="26"/>
  <c r="H21" i="26"/>
  <c r="H38" i="26" s="1"/>
  <c r="H122" i="26"/>
  <c r="H139" i="26" s="1"/>
  <c r="K35" i="1"/>
  <c r="J56" i="20"/>
  <c r="J62" i="20" s="1"/>
  <c r="H550" i="3"/>
  <c r="G533" i="3" s="1"/>
  <c r="H536" i="3" s="1"/>
  <c r="F12" i="16"/>
  <c r="G12" i="16" s="1"/>
  <c r="F18" i="16"/>
  <c r="H18" i="16" s="1"/>
  <c r="F7" i="16"/>
  <c r="G7" i="16" s="1"/>
  <c r="G25" i="16" s="1"/>
  <c r="F24" i="16"/>
  <c r="H24" i="16" s="1"/>
  <c r="F23" i="16"/>
  <c r="H23" i="16" s="1"/>
  <c r="H1573" i="3"/>
  <c r="H1579" i="3"/>
  <c r="G1562" i="3" s="1"/>
  <c r="H1565" i="3" s="1"/>
  <c r="F10" i="16"/>
  <c r="G10" i="16" s="1"/>
  <c r="F19" i="16"/>
  <c r="H19" i="16" s="1"/>
  <c r="H489" i="3"/>
  <c r="H1227" i="3"/>
  <c r="H378" i="3"/>
  <c r="G361" i="3" s="1"/>
  <c r="H364" i="3" s="1"/>
  <c r="F22" i="16"/>
  <c r="F15" i="16"/>
  <c r="G15" i="16" s="1"/>
  <c r="F11" i="16"/>
  <c r="G11" i="16" s="1"/>
  <c r="F13" i="16"/>
  <c r="G13" i="16" s="1"/>
  <c r="H1233" i="3"/>
  <c r="G1216" i="3" s="1"/>
  <c r="H1219" i="3" s="1"/>
  <c r="H198" i="3"/>
  <c r="H660" i="3"/>
  <c r="G643" i="3" s="1"/>
  <c r="H646" i="3" s="1"/>
  <c r="H1112" i="3"/>
  <c r="H438" i="3"/>
  <c r="G421" i="3" s="1"/>
  <c r="H424" i="3" s="1"/>
  <c r="H709" i="3"/>
  <c r="H372" i="3"/>
  <c r="H34" i="3"/>
  <c r="G17" i="3" s="1"/>
  <c r="H20" i="3" s="1"/>
  <c r="H432" i="3"/>
  <c r="H1464" i="3"/>
  <c r="G1447" i="3" s="1"/>
  <c r="H1450" i="3" s="1"/>
  <c r="H1472" i="3" s="1"/>
  <c r="G1476" i="3" s="1"/>
  <c r="H1285" i="3"/>
  <c r="H149" i="3"/>
  <c r="G132" i="3" s="1"/>
  <c r="H135" i="3" s="1"/>
  <c r="E1140" i="3"/>
  <c r="E1197" i="3" s="1"/>
  <c r="H605" i="3"/>
  <c r="G588" i="3" s="1"/>
  <c r="H591" i="3" s="1"/>
  <c r="H143" i="3"/>
  <c r="H263" i="3"/>
  <c r="G246" i="3" s="1"/>
  <c r="H249" i="3" s="1"/>
  <c r="H204" i="3"/>
  <c r="G187" i="3" s="1"/>
  <c r="H190" i="3" s="1"/>
  <c r="H28" i="3"/>
  <c r="H495" i="3"/>
  <c r="G478" i="3" s="1"/>
  <c r="H481" i="3" s="1"/>
  <c r="H257" i="3"/>
  <c r="H1062" i="3"/>
  <c r="G1041" i="3" s="1"/>
  <c r="H1047" i="3" s="1"/>
  <c r="H1070" i="3" s="1"/>
  <c r="H940" i="3"/>
  <c r="H1406" i="3"/>
  <c r="G1389" i="3" s="1"/>
  <c r="H1392" i="3" s="1"/>
  <c r="H1414" i="3" s="1"/>
  <c r="H1348" i="3"/>
  <c r="G1331" i="3" s="1"/>
  <c r="H1334" i="3" s="1"/>
  <c r="H1356" i="3" s="1"/>
  <c r="F46" i="2" s="1"/>
  <c r="H1291" i="3"/>
  <c r="G1274" i="3" s="1"/>
  <c r="H1277" i="3" s="1"/>
  <c r="H1118" i="3"/>
  <c r="G1100" i="3" s="1"/>
  <c r="H1103" i="3" s="1"/>
  <c r="H946" i="3"/>
  <c r="G929" i="3" s="1"/>
  <c r="H932" i="3" s="1"/>
  <c r="H890" i="3"/>
  <c r="G871" i="3" s="1"/>
  <c r="H874" i="3" s="1"/>
  <c r="H832" i="3"/>
  <c r="G813" i="3" s="1"/>
  <c r="H816" i="3" s="1"/>
  <c r="H774" i="3"/>
  <c r="G754" i="3" s="1"/>
  <c r="H757" i="3" s="1"/>
  <c r="H715" i="3"/>
  <c r="G698" i="3" s="1"/>
  <c r="H701" i="3" s="1"/>
  <c r="H1001" i="3"/>
  <c r="G984" i="3" s="1"/>
  <c r="H987" i="3" s="1"/>
  <c r="E967" i="3"/>
  <c r="E1022" i="3" s="1"/>
  <c r="E1083" i="3" s="1"/>
  <c r="E1139" i="3" s="1"/>
  <c r="E1196" i="3" s="1"/>
  <c r="E969" i="3"/>
  <c r="E1024" i="3" s="1"/>
  <c r="E1085" i="3" s="1"/>
  <c r="E1141" i="3" s="1"/>
  <c r="E1198" i="3" s="1"/>
  <c r="H995" i="3"/>
  <c r="A923" i="3"/>
  <c r="A978" i="3" s="1"/>
  <c r="J107" i="20"/>
  <c r="J111" i="20" s="1"/>
  <c r="E26" i="2" s="1"/>
  <c r="E26" i="21" s="1"/>
  <c r="I117" i="20"/>
  <c r="J117" i="20" s="1"/>
  <c r="J121" i="20" s="1"/>
  <c r="E27" i="2" s="1"/>
  <c r="H172" i="20"/>
  <c r="J172" i="20" s="1"/>
  <c r="J177" i="20" s="1"/>
  <c r="J323" i="20"/>
  <c r="J131" i="20"/>
  <c r="E28" i="2" s="1"/>
  <c r="E28" i="21" s="1"/>
  <c r="J165" i="20"/>
  <c r="E31" i="2" s="1"/>
  <c r="E31" i="21" s="1"/>
  <c r="E36" i="2"/>
  <c r="E36" i="21" s="1"/>
  <c r="J228" i="20"/>
  <c r="E39" i="2" s="1"/>
  <c r="E38" i="21" s="1"/>
  <c r="J41" i="20"/>
  <c r="E17" i="2" s="1"/>
  <c r="E17" i="21" s="1"/>
  <c r="J196" i="20"/>
  <c r="E34" i="2" s="1"/>
  <c r="J238" i="20"/>
  <c r="E40" i="2" s="1"/>
  <c r="J271" i="20"/>
  <c r="E45" i="2" s="1"/>
  <c r="E43" i="21" s="1"/>
  <c r="J291" i="20"/>
  <c r="E47" i="2" s="1"/>
  <c r="J281" i="20"/>
  <c r="E46" i="2" s="1"/>
  <c r="I140" i="20"/>
  <c r="J140" i="20" s="1"/>
  <c r="J260" i="20"/>
  <c r="E44" i="2" s="1"/>
  <c r="J301" i="20"/>
  <c r="E48" i="2" s="1"/>
  <c r="D138" i="20"/>
  <c r="I138" i="20" s="1"/>
  <c r="J138" i="20" s="1"/>
  <c r="J206" i="20"/>
  <c r="E35" i="2" s="1"/>
  <c r="E35" i="21" s="1"/>
  <c r="E30" i="21"/>
  <c r="J51" i="20"/>
  <c r="E18" i="2" s="1"/>
  <c r="H182" i="20"/>
  <c r="J182" i="20" s="1"/>
  <c r="J187" i="20" s="1"/>
  <c r="J93" i="20"/>
  <c r="E24" i="2" s="1"/>
  <c r="E24" i="21" s="1"/>
  <c r="J102" i="20"/>
  <c r="E25" i="2" s="1"/>
  <c r="J23" i="20"/>
  <c r="E15" i="2" s="1"/>
  <c r="H212" i="3" l="1"/>
  <c r="G217" i="3" s="1"/>
  <c r="F8" i="16"/>
  <c r="H1126" i="3"/>
  <c r="F40" i="2" s="1"/>
  <c r="F39" i="21" s="1"/>
  <c r="G42" i="25"/>
  <c r="G41" i="25"/>
  <c r="H43" i="25" s="1"/>
  <c r="H45" i="25"/>
  <c r="G143" i="26"/>
  <c r="G142" i="26"/>
  <c r="H144" i="26" s="1"/>
  <c r="H146" i="26" s="1"/>
  <c r="G142" i="25"/>
  <c r="H144" i="25" s="1"/>
  <c r="H146" i="25"/>
  <c r="G143" i="25"/>
  <c r="G46" i="15"/>
  <c r="G48" i="15"/>
  <c r="G47" i="15"/>
  <c r="G41" i="26"/>
  <c r="G42" i="26"/>
  <c r="H93" i="26"/>
  <c r="H95" i="26" s="1"/>
  <c r="I77" i="20"/>
  <c r="J77" i="20" s="1"/>
  <c r="J81" i="20" s="1"/>
  <c r="E21" i="2" s="1"/>
  <c r="E21" i="21" s="1"/>
  <c r="H558" i="3"/>
  <c r="F26" i="2" s="1"/>
  <c r="F26" i="21" s="1"/>
  <c r="G26" i="21" s="1"/>
  <c r="J26" i="21" s="1"/>
  <c r="H503" i="3"/>
  <c r="F25" i="2" s="1"/>
  <c r="F25" i="21" s="1"/>
  <c r="H1299" i="3"/>
  <c r="F45" i="2" s="1"/>
  <c r="F43" i="21" s="1"/>
  <c r="G43" i="21" s="1"/>
  <c r="H1587" i="3"/>
  <c r="G1418" i="3"/>
  <c r="F47" i="2"/>
  <c r="F45" i="21" s="1"/>
  <c r="H1241" i="3"/>
  <c r="G1246" i="3" s="1"/>
  <c r="F25" i="16"/>
  <c r="H386" i="3"/>
  <c r="G390" i="3" s="1"/>
  <c r="G1477" i="3"/>
  <c r="H22" i="16"/>
  <c r="H723" i="3"/>
  <c r="G727" i="3" s="1"/>
  <c r="H954" i="3"/>
  <c r="G959" i="3" s="1"/>
  <c r="A1034" i="3"/>
  <c r="A1094" i="3"/>
  <c r="H42" i="3"/>
  <c r="G48" i="3" s="1"/>
  <c r="F20" i="16"/>
  <c r="E1253" i="3"/>
  <c r="E1311" i="3" s="1"/>
  <c r="E1368" i="3" s="1"/>
  <c r="E1254" i="3"/>
  <c r="E1312" i="3" s="1"/>
  <c r="E1369" i="3" s="1"/>
  <c r="E1255" i="3"/>
  <c r="E1313" i="3" s="1"/>
  <c r="E1370" i="3" s="1"/>
  <c r="H446" i="3"/>
  <c r="G1130" i="3"/>
  <c r="F48" i="2"/>
  <c r="F46" i="21" s="1"/>
  <c r="G1478" i="3"/>
  <c r="H157" i="3"/>
  <c r="H271" i="3"/>
  <c r="G1419" i="3"/>
  <c r="G1420" i="3"/>
  <c r="H1009" i="3"/>
  <c r="G1076" i="3"/>
  <c r="G1074" i="3"/>
  <c r="G1075" i="3"/>
  <c r="F39" i="2"/>
  <c r="F38" i="21" s="1"/>
  <c r="G38" i="21" s="1"/>
  <c r="K38" i="21" s="1"/>
  <c r="G1360" i="3"/>
  <c r="G1362" i="3"/>
  <c r="F44" i="21"/>
  <c r="G1361" i="3"/>
  <c r="E45" i="21"/>
  <c r="E18" i="21"/>
  <c r="E46" i="21"/>
  <c r="E34" i="21"/>
  <c r="E42" i="21"/>
  <c r="E39" i="21"/>
  <c r="E44" i="21"/>
  <c r="E25" i="21"/>
  <c r="J146" i="20"/>
  <c r="E29" i="2" s="1"/>
  <c r="E29" i="21" s="1"/>
  <c r="E27" i="21"/>
  <c r="E19" i="2"/>
  <c r="E15" i="21"/>
  <c r="G218" i="3" l="1"/>
  <c r="G216" i="3"/>
  <c r="F18" i="2"/>
  <c r="F18" i="21" s="1"/>
  <c r="G18" i="21" s="1"/>
  <c r="I18" i="21" s="1"/>
  <c r="G39" i="21"/>
  <c r="I39" i="21" s="1"/>
  <c r="G1131" i="3"/>
  <c r="G508" i="3"/>
  <c r="G1132" i="3"/>
  <c r="H1133" i="3" s="1"/>
  <c r="H1135" i="3" s="1"/>
  <c r="G40" i="2"/>
  <c r="G25" i="2"/>
  <c r="G25" i="21"/>
  <c r="J25" i="21" s="1"/>
  <c r="G563" i="3"/>
  <c r="G509" i="3"/>
  <c r="G562" i="3"/>
  <c r="F26" i="16"/>
  <c r="G26" i="2"/>
  <c r="G45" i="2"/>
  <c r="H49" i="15"/>
  <c r="H51" i="15" s="1"/>
  <c r="H43" i="26"/>
  <c r="H45" i="26" s="1"/>
  <c r="G392" i="3"/>
  <c r="F21" i="2"/>
  <c r="F21" i="21" s="1"/>
  <c r="G21" i="21" s="1"/>
  <c r="G507" i="3"/>
  <c r="G1304" i="3"/>
  <c r="G391" i="3"/>
  <c r="G564" i="3"/>
  <c r="G1305" i="3"/>
  <c r="H219" i="3"/>
  <c r="H221" i="3" s="1"/>
  <c r="G1247" i="3"/>
  <c r="G1245" i="3"/>
  <c r="F44" i="2"/>
  <c r="F42" i="21" s="1"/>
  <c r="G42" i="21" s="1"/>
  <c r="G1303" i="3"/>
  <c r="G1592" i="3"/>
  <c r="F52" i="2"/>
  <c r="G1591" i="3"/>
  <c r="G1593" i="3"/>
  <c r="L43" i="21"/>
  <c r="J43" i="21"/>
  <c r="F29" i="2"/>
  <c r="F29" i="21" s="1"/>
  <c r="G29" i="21" s="1"/>
  <c r="J29" i="21" s="1"/>
  <c r="F15" i="2"/>
  <c r="F15" i="21" s="1"/>
  <c r="G15" i="21" s="1"/>
  <c r="H1479" i="3"/>
  <c r="H1481" i="3" s="1"/>
  <c r="G47" i="3"/>
  <c r="G728" i="3"/>
  <c r="G729" i="3"/>
  <c r="G46" i="3"/>
  <c r="H1421" i="3"/>
  <c r="H1423" i="3" s="1"/>
  <c r="G960" i="3"/>
  <c r="G958" i="3"/>
  <c r="F35" i="2"/>
  <c r="A1207" i="3"/>
  <c r="A1265" i="3" s="1"/>
  <c r="A1438" i="3" s="1"/>
  <c r="A1150" i="3"/>
  <c r="G46" i="21"/>
  <c r="J46" i="21" s="1"/>
  <c r="G451" i="3"/>
  <c r="G450" i="3"/>
  <c r="G452" i="3"/>
  <c r="F24" i="2"/>
  <c r="G39" i="2"/>
  <c r="G48" i="2"/>
  <c r="G276" i="3"/>
  <c r="F19" i="2"/>
  <c r="F19" i="21" s="1"/>
  <c r="G277" i="3"/>
  <c r="G275" i="3"/>
  <c r="G162" i="3"/>
  <c r="G161" i="3"/>
  <c r="F17" i="2"/>
  <c r="G163" i="3"/>
  <c r="G47" i="2"/>
  <c r="G45" i="21"/>
  <c r="L45" i="21" s="1"/>
  <c r="H1077" i="3"/>
  <c r="H1079" i="3" s="1"/>
  <c r="G44" i="21"/>
  <c r="L44" i="21" s="1"/>
  <c r="G46" i="2"/>
  <c r="H1363" i="3"/>
  <c r="H1365" i="3" s="1"/>
  <c r="G1013" i="3"/>
  <c r="G1014" i="3"/>
  <c r="F36" i="2"/>
  <c r="G1015" i="3"/>
  <c r="E19" i="21"/>
  <c r="G18" i="2" l="1"/>
  <c r="G42" i="2"/>
  <c r="H510" i="3"/>
  <c r="H512" i="3" s="1"/>
  <c r="H565" i="3"/>
  <c r="H567" i="3" s="1"/>
  <c r="H1306" i="3"/>
  <c r="H1308" i="3" s="1"/>
  <c r="H393" i="3"/>
  <c r="H395" i="3" s="1"/>
  <c r="H1248" i="3"/>
  <c r="H1250" i="3" s="1"/>
  <c r="G21" i="2"/>
  <c r="F877" i="3"/>
  <c r="G877" i="3" s="1"/>
  <c r="H884" i="3" s="1"/>
  <c r="H898" i="3" s="1"/>
  <c r="F760" i="3"/>
  <c r="G760" i="3" s="1"/>
  <c r="H768" i="3" s="1"/>
  <c r="H782" i="3" s="1"/>
  <c r="F594" i="3"/>
  <c r="G594" i="3" s="1"/>
  <c r="H599" i="3" s="1"/>
  <c r="H613" i="3" s="1"/>
  <c r="F819" i="3"/>
  <c r="G819" i="3" s="1"/>
  <c r="H826" i="3" s="1"/>
  <c r="H840" i="3" s="1"/>
  <c r="F649" i="3"/>
  <c r="G649" i="3" s="1"/>
  <c r="H654" i="3" s="1"/>
  <c r="H668" i="3" s="1"/>
  <c r="G52" i="2"/>
  <c r="G55" i="2" s="1"/>
  <c r="F50" i="21"/>
  <c r="G50" i="21" s="1"/>
  <c r="K50" i="21" s="1"/>
  <c r="I15" i="21"/>
  <c r="H1594" i="3"/>
  <c r="H1596" i="3" s="1"/>
  <c r="G44" i="2"/>
  <c r="G50" i="2" s="1"/>
  <c r="J18" i="21"/>
  <c r="H49" i="3"/>
  <c r="H51" i="3" s="1"/>
  <c r="H730" i="3"/>
  <c r="H732" i="3" s="1"/>
  <c r="G36" i="2"/>
  <c r="F36" i="21"/>
  <c r="G36" i="21" s="1"/>
  <c r="L36" i="21" s="1"/>
  <c r="G15" i="2"/>
  <c r="K42" i="21"/>
  <c r="J42" i="21"/>
  <c r="I21" i="21"/>
  <c r="J21" i="21"/>
  <c r="G35" i="2"/>
  <c r="F35" i="21"/>
  <c r="G35" i="21" s="1"/>
  <c r="K35" i="21" s="1"/>
  <c r="A1495" i="3"/>
  <c r="A1553" i="3" s="1"/>
  <c r="G29" i="2"/>
  <c r="H961" i="3"/>
  <c r="H963" i="3" s="1"/>
  <c r="E1428" i="3"/>
  <c r="E1486" i="3"/>
  <c r="E1543" i="3" s="1"/>
  <c r="E1484" i="3"/>
  <c r="E1541" i="3" s="1"/>
  <c r="E1599" i="3" s="1"/>
  <c r="E1657" i="3" s="1"/>
  <c r="E1719" i="3" s="1"/>
  <c r="E1426" i="3"/>
  <c r="E1485" i="3"/>
  <c r="E1542" i="3" s="1"/>
  <c r="E1427" i="3"/>
  <c r="G19" i="21"/>
  <c r="G19" i="2"/>
  <c r="F24" i="21"/>
  <c r="G24" i="21" s="1"/>
  <c r="J24" i="21" s="1"/>
  <c r="G24" i="2"/>
  <c r="H453" i="3"/>
  <c r="H455" i="3" s="1"/>
  <c r="F17" i="21"/>
  <c r="G17" i="21" s="1"/>
  <c r="J17" i="21" s="1"/>
  <c r="G17" i="2"/>
  <c r="H278" i="3"/>
  <c r="H280" i="3" s="1"/>
  <c r="H164" i="3"/>
  <c r="H166" i="3" s="1"/>
  <c r="H1016" i="3"/>
  <c r="H1018" i="3" s="1"/>
  <c r="I19" i="21" l="1"/>
  <c r="E1601" i="3"/>
  <c r="E1659" i="3" s="1"/>
  <c r="E1721" i="3" s="1"/>
  <c r="E1600" i="3"/>
  <c r="E1658" i="3" s="1"/>
  <c r="E1720" i="3" s="1"/>
  <c r="G619" i="3"/>
  <c r="G618" i="3"/>
  <c r="G617" i="3"/>
  <c r="F27" i="2"/>
  <c r="G845" i="3"/>
  <c r="F31" i="2"/>
  <c r="G844" i="3"/>
  <c r="G846" i="3"/>
  <c r="G788" i="3"/>
  <c r="G787" i="3"/>
  <c r="F30" i="2"/>
  <c r="G786" i="3"/>
  <c r="G674" i="3"/>
  <c r="G672" i="3"/>
  <c r="F28" i="2"/>
  <c r="G673" i="3"/>
  <c r="G903" i="3"/>
  <c r="F34" i="2"/>
  <c r="G902" i="3"/>
  <c r="G904" i="3"/>
  <c r="L35" i="21"/>
  <c r="G22" i="2"/>
  <c r="H789" i="3" l="1"/>
  <c r="H791" i="3" s="1"/>
  <c r="H620" i="3"/>
  <c r="H622" i="3" s="1"/>
  <c r="F28" i="21"/>
  <c r="G28" i="21" s="1"/>
  <c r="K28" i="21" s="1"/>
  <c r="G28" i="2"/>
  <c r="F31" i="21"/>
  <c r="G31" i="21" s="1"/>
  <c r="G31" i="2"/>
  <c r="H905" i="3"/>
  <c r="H907" i="3" s="1"/>
  <c r="F30" i="21"/>
  <c r="G30" i="21" s="1"/>
  <c r="K30" i="21" s="1"/>
  <c r="G30" i="2"/>
  <c r="H847" i="3"/>
  <c r="H849" i="3" s="1"/>
  <c r="H675" i="3"/>
  <c r="H677" i="3" s="1"/>
  <c r="F27" i="21"/>
  <c r="G27" i="21" s="1"/>
  <c r="G27" i="2"/>
  <c r="F34" i="21"/>
  <c r="G34" i="21" s="1"/>
  <c r="G34" i="2"/>
  <c r="G37" i="2" s="1"/>
  <c r="L55" i="21"/>
  <c r="L57" i="21" s="1"/>
  <c r="K31" i="21" l="1"/>
  <c r="G55" i="21"/>
  <c r="K34" i="21"/>
  <c r="I34" i="21"/>
  <c r="I55" i="21" s="1"/>
  <c r="G32" i="2"/>
  <c r="G56" i="2" s="1"/>
  <c r="G57" i="2" s="1"/>
  <c r="J27" i="21"/>
  <c r="J55" i="21" s="1"/>
  <c r="J57" i="21" s="1"/>
  <c r="L56" i="21"/>
  <c r="L58" i="21"/>
  <c r="K55" i="21" l="1"/>
  <c r="K56" i="21" s="1"/>
  <c r="G59" i="2"/>
  <c r="G58" i="2"/>
  <c r="J58" i="21"/>
  <c r="J56" i="21"/>
  <c r="E52" i="23"/>
  <c r="G58" i="21"/>
  <c r="G57" i="21"/>
  <c r="G56" i="21"/>
  <c r="I57" i="21"/>
  <c r="I56" i="21"/>
  <c r="I58" i="21"/>
  <c r="L59" i="21"/>
  <c r="L60" i="21" s="1"/>
  <c r="D42" i="23" l="1"/>
  <c r="D43" i="23" s="1"/>
  <c r="D50" i="23" s="1"/>
  <c r="F22" i="23"/>
  <c r="F20" i="23"/>
  <c r="F23" i="23"/>
  <c r="F18" i="23"/>
  <c r="K58" i="21"/>
  <c r="K57" i="21"/>
  <c r="J59" i="21"/>
  <c r="J60" i="21" s="1"/>
  <c r="G60" i="2"/>
  <c r="G61" i="2" s="1"/>
  <c r="H17" i="23" s="1"/>
  <c r="D37" i="23"/>
  <c r="D38" i="23" s="1"/>
  <c r="D49" i="23" s="1"/>
  <c r="G59" i="21"/>
  <c r="G60" i="21" s="1"/>
  <c r="H16" i="21" s="1"/>
  <c r="I59" i="21"/>
  <c r="I60" i="21" s="1"/>
  <c r="I61" i="2" l="1"/>
  <c r="H20" i="21"/>
  <c r="H19" i="21"/>
  <c r="K59" i="21"/>
  <c r="K60" i="21" s="1"/>
  <c r="H52" i="21"/>
  <c r="H51" i="21"/>
  <c r="H47" i="21"/>
  <c r="H27" i="21"/>
  <c r="H35" i="21"/>
  <c r="H15" i="21"/>
  <c r="H34" i="21"/>
  <c r="H44" i="21"/>
  <c r="H43" i="21"/>
  <c r="H42" i="21"/>
  <c r="H50" i="21"/>
  <c r="H46" i="21"/>
  <c r="H21" i="21"/>
  <c r="H45" i="21"/>
  <c r="H31" i="21"/>
  <c r="H30" i="21"/>
  <c r="H36" i="21"/>
  <c r="H24" i="21"/>
  <c r="H57" i="21"/>
  <c r="H56" i="21"/>
  <c r="H18" i="21"/>
  <c r="H28" i="21"/>
  <c r="H40" i="21"/>
  <c r="H26" i="21"/>
  <c r="H38" i="21"/>
  <c r="H29" i="21"/>
  <c r="H25" i="21"/>
  <c r="H17" i="21"/>
  <c r="H39" i="21"/>
  <c r="H58" i="21"/>
  <c r="E32" i="23" l="1"/>
  <c r="F32" i="23" s="1"/>
  <c r="E30" i="23"/>
  <c r="F30" i="23" s="1"/>
  <c r="H18" i="23"/>
  <c r="E25" i="23" s="1"/>
  <c r="E27" i="23"/>
  <c r="F27" i="23" s="1"/>
  <c r="E29" i="23"/>
  <c r="F29" i="23" s="1"/>
  <c r="E31" i="23"/>
  <c r="F31" i="23" s="1"/>
  <c r="H59" i="21"/>
  <c r="H55" i="21"/>
  <c r="E26" i="23" l="1"/>
  <c r="F26" i="23" s="1"/>
  <c r="H60" i="21"/>
  <c r="F25" i="23" l="1"/>
  <c r="F33" i="23" s="1"/>
  <c r="E33" i="23"/>
  <c r="D48" i="23" l="1"/>
  <c r="D51" i="23" s="1"/>
  <c r="E53" i="23" s="1"/>
  <c r="E54" i="23" s="1"/>
</calcChain>
</file>

<file path=xl/comments1.xml><?xml version="1.0" encoding="utf-8"?>
<comments xmlns="http://schemas.openxmlformats.org/spreadsheetml/2006/main">
  <authors>
    <author>ASUS</author>
  </authors>
  <commentList>
    <comment ref="K822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80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<sst xmlns="http://schemas.openxmlformats.org/spreadsheetml/2006/main" count="3323" uniqueCount="467">
  <si>
    <t>REPUBLICA DE COLOMBIA</t>
  </si>
  <si>
    <t>DEPARTAMENTO DEL PUTUMAYO</t>
  </si>
  <si>
    <t>MEMORIA DE CANTIDADES</t>
  </si>
  <si>
    <t>ITEM</t>
  </si>
  <si>
    <t xml:space="preserve">Descripción </t>
  </si>
  <si>
    <t>Und</t>
  </si>
  <si>
    <t>L (m)</t>
  </si>
  <si>
    <t>A (m)</t>
  </si>
  <si>
    <t>H(m)</t>
  </si>
  <si>
    <t>Área(m2)</t>
  </si>
  <si>
    <t>Volumen(m3)</t>
  </si>
  <si>
    <t>Kg</t>
  </si>
  <si>
    <t>Unidad</t>
  </si>
  <si>
    <t>Cantidad</t>
  </si>
  <si>
    <t>PRELIMINARES</t>
  </si>
  <si>
    <t>Localización y replanteo</t>
  </si>
  <si>
    <t>m2</t>
  </si>
  <si>
    <t>m3</t>
  </si>
  <si>
    <t>TRANSPORTE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</si>
  <si>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</si>
  <si>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</si>
  <si>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</si>
  <si>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</si>
  <si>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</si>
  <si>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</si>
  <si>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 OBRA</t>
  </si>
  <si>
    <t>ANALISIS DE PRECIOS UNITARIOS</t>
  </si>
  <si>
    <t>ACTIVIDAD:</t>
  </si>
  <si>
    <t xml:space="preserve">Unidad: </t>
  </si>
  <si>
    <t>I</t>
  </si>
  <si>
    <t>EQUIPO</t>
  </si>
  <si>
    <t>DESCRIPCIÓN</t>
  </si>
  <si>
    <t>Tipo</t>
  </si>
  <si>
    <t>Tarifa/Día</t>
  </si>
  <si>
    <t>Rend</t>
  </si>
  <si>
    <t>V. Unitario.</t>
  </si>
  <si>
    <t xml:space="preserve">        SUBTOTAL.</t>
  </si>
  <si>
    <t>II</t>
  </si>
  <si>
    <t>MATERIALES EN OBRA.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</si>
  <si>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</si>
  <si>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</si>
  <si>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</si>
  <si>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</si>
  <si>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</si>
  <si>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</si>
  <si>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</si>
  <si>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</si>
  <si>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</si>
  <si>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</si>
  <si>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>Rend.</t>
  </si>
  <si>
    <t xml:space="preserve">        SUBTOTAL</t>
  </si>
  <si>
    <t>IV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</si>
  <si>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</si>
  <si>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</si>
  <si>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</si>
  <si>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</si>
  <si>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</si>
  <si>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</si>
  <si>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</si>
  <si>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</si>
  <si>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</si>
  <si>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IMPREVISTOS</t>
  </si>
  <si>
    <t>UTILIDAD</t>
  </si>
  <si>
    <t>TOTAL COSTOS INDIRECTOS</t>
  </si>
  <si>
    <t>TOTAL PRECIO UNITARIO.</t>
  </si>
  <si>
    <t>MUNICIPIO DE SAN MIGUEL</t>
  </si>
  <si>
    <t>Localizacion y replanteo</t>
  </si>
  <si>
    <t>Herremienta menor</t>
  </si>
  <si>
    <t>Oficial</t>
  </si>
  <si>
    <t>Ayudante</t>
  </si>
  <si>
    <t>SEMANA 1</t>
  </si>
  <si>
    <t>SEMANA 2</t>
  </si>
  <si>
    <t>TOTAL</t>
  </si>
  <si>
    <t>Excavacion manual</t>
  </si>
  <si>
    <t>COSTO TOTAL OBRA</t>
  </si>
  <si>
    <t>ml</t>
  </si>
  <si>
    <t>und</t>
  </si>
  <si>
    <t>FACTOR PRESTACIONAL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</si>
  <si>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</si>
  <si>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</si>
  <si>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</si>
  <si>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</si>
  <si>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</si>
  <si>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</si>
  <si>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</si>
  <si>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</si>
  <si>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</si>
  <si>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</si>
  <si>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</si>
  <si>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</si>
  <si>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</si>
  <si>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</si>
  <si>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</si>
  <si>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</si>
  <si>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</si>
  <si>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</si>
  <si>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</si>
  <si>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</si>
  <si>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</si>
  <si>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</si>
  <si>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</si>
  <si>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</si>
  <si>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</si>
  <si>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</si>
  <si>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</si>
  <si>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</si>
  <si>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</si>
  <si>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</si>
  <si>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</si>
  <si>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</si>
  <si>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</si>
  <si>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</si>
  <si>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</si>
  <si>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</si>
  <si>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</si>
  <si>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</si>
  <si>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</si>
  <si>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</si>
  <si>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</si>
  <si>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</si>
  <si>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</si>
  <si>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</si>
  <si>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</si>
  <si>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</si>
  <si>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Seguridad Industrial</t>
  </si>
  <si>
    <t>TOTAL ADMINISTRACION</t>
  </si>
  <si>
    <t>TOTAL UTILIDAD</t>
  </si>
  <si>
    <t>Subbase compactada con material de selección</t>
  </si>
  <si>
    <t>Demolicion placa existente</t>
  </si>
  <si>
    <t>Retiro tuberia existente en mal estado</t>
  </si>
  <si>
    <t>kg</t>
  </si>
  <si>
    <t>Suministro y aplicación de curador tipo antisol para concreto rigido</t>
  </si>
  <si>
    <t>Cemento gris</t>
  </si>
  <si>
    <t>Arena</t>
  </si>
  <si>
    <t>Triturado</t>
  </si>
  <si>
    <t>Agua</t>
  </si>
  <si>
    <t>lt</t>
  </si>
  <si>
    <t>ESTRUCTURA SANITARIA Y DE PAVIMENTO</t>
  </si>
  <si>
    <t>Retiro de material de excavacion y demolicion</t>
  </si>
  <si>
    <t>Instalacion de tuberia 8" (incluye encamado en arena)</t>
  </si>
  <si>
    <t>Relleno con material de sitio seleccionado, compactado</t>
  </si>
  <si>
    <t>Relleno con material grudo de rio</t>
  </si>
  <si>
    <t>Relleno con material de excavación seleccionado, compactado</t>
  </si>
  <si>
    <t>Kit silla Yee 6" a  8"</t>
  </si>
  <si>
    <t>Placa en concreto rigido de 3.8 MPA, e=20 cm incluye juntas de expansion y sellado</t>
  </si>
  <si>
    <t>TOTAL A.I.U</t>
  </si>
  <si>
    <t>ALCANTARILLADO PLUVIAL</t>
  </si>
  <si>
    <t>Limpieza y sondeo de tuberia 8 y 10"</t>
  </si>
  <si>
    <t xml:space="preserve">Limpieza de camras de inspeción </t>
  </si>
  <si>
    <t>Limpieza de sumideros y cajillas (inclulle tuberia sumideros a tubo principal)</t>
  </si>
  <si>
    <t>REHABILITACIÓN DEL SISTEMA DE ALCANTARILLADO SANITARIO Y PLUVIAL - CALLE 5, CARRERA 3, CALLE 4, CALLE 3, CARRERA 2, CARRERA 5 , CARRERA 1ª  CARRERA 6- EN EL CORREGIMIENTO DE PUERTO COLÓN MUNICIPIO DE SAN MIGUEL DEPARTAMENTO DEL PUTUMAYO</t>
  </si>
  <si>
    <t>CRONOGRAMA DE ACTIVIDADES</t>
  </si>
  <si>
    <t>UND</t>
  </si>
  <si>
    <t>SAN MIGUEL - PUTUMAYO</t>
  </si>
  <si>
    <t>Vo.Bo.</t>
  </si>
  <si>
    <t>ALABORÓ:</t>
  </si>
  <si>
    <t>Relleno con material crudo de rio</t>
  </si>
  <si>
    <t>Calle 5 entre crr 5 a crr 3.</t>
  </si>
  <si>
    <t>Calle 3 entre crr 2 y crr 3</t>
  </si>
  <si>
    <t>Sector la Vega calle 3 entre crr 2 y 3</t>
  </si>
  <si>
    <t>APU-BASICO</t>
  </si>
  <si>
    <t>Instalacion de tuberia 6" (incluye encamado en arena)</t>
  </si>
  <si>
    <t>Kit silla tee 6" a  12"</t>
  </si>
  <si>
    <t>ALCANTARILLADO SANITARIO Y PLUVIAL</t>
  </si>
  <si>
    <t>DESCRIPCION</t>
  </si>
  <si>
    <t xml:space="preserve"> Concreto MR 21 Mpa</t>
  </si>
  <si>
    <t>Placa en concreto rigido de 21 MPA, e=20 cm incluye juntas de expansion y sellado</t>
  </si>
  <si>
    <t>Carrera 3 sector de la entrada hasta estación de policia.</t>
  </si>
  <si>
    <t>Carrera 3 entre calles 5 y 3.</t>
  </si>
  <si>
    <t>Carrera 2 al descole del aserradero</t>
  </si>
  <si>
    <t>Calle 4</t>
  </si>
  <si>
    <t>carrera 2</t>
  </si>
  <si>
    <t>Calle 3 entre crr 2 y crr 3 pluvial</t>
  </si>
  <si>
    <t>Carrera 2 al descole del aserradero pluvial</t>
  </si>
  <si>
    <t>Carrera 3 - calle 3 y calle 4 sumideros</t>
  </si>
  <si>
    <t>Carreras  2,3 Y 4,  Calles 3, 4 Y 5</t>
  </si>
  <si>
    <t>Carrera 2, 3 - calle 3 y 4 tuberia sumideros</t>
  </si>
  <si>
    <t>SECRETARIO DE PLANEACION Y OBRAS PUBLICAS</t>
  </si>
  <si>
    <t>ADMINISTRACION</t>
  </si>
  <si>
    <t>FACTOR PRESTACIONAL PARA PERSONAL PROFESIONAL, ADMINISTRATIVO Y TECNICO</t>
  </si>
  <si>
    <t xml:space="preserve">Observación </t>
  </si>
  <si>
    <t xml:space="preserve">Direccion </t>
  </si>
  <si>
    <t>Cant</t>
  </si>
  <si>
    <t>Largo</t>
  </si>
  <si>
    <t>Ancho</t>
  </si>
  <si>
    <t>Alto</t>
  </si>
  <si>
    <t>Área</t>
  </si>
  <si>
    <t>Volumen</t>
  </si>
  <si>
    <t>Total</t>
  </si>
  <si>
    <t>OBREROS</t>
  </si>
  <si>
    <t>CRONOGRAMA</t>
  </si>
  <si>
    <t>V/UNITARIO</t>
  </si>
  <si>
    <t>V/TOTAL</t>
  </si>
  <si>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</si>
  <si>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</si>
  <si>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</si>
  <si>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</si>
  <si>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</si>
  <si>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</si>
  <si>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</si>
  <si>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</si>
  <si>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</si>
  <si>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>DESGLOCE A.I.U</t>
  </si>
  <si>
    <t>SALARIO PERSONAL ADMINISTRATIVO DE OBRA</t>
  </si>
  <si>
    <t>PERSONAL</t>
  </si>
  <si>
    <t xml:space="preserve">SUELDO BASICO 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</si>
  <si>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</si>
  <si>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</si>
  <si>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</si>
  <si>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</si>
  <si>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</si>
  <si>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</si>
  <si>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</si>
  <si>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</si>
  <si>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</si>
  <si>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</si>
  <si>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</si>
  <si>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2. IMPREVISTOS</t>
  </si>
  <si>
    <t>PORCENTAJE</t>
  </si>
  <si>
    <t>3. UTILIDAD</t>
  </si>
  <si>
    <t>TOTAL COSTO DIRECTO A.I.U</t>
  </si>
  <si>
    <t>RESUMEN</t>
  </si>
  <si>
    <t xml:space="preserve">ADMINISTRACION </t>
  </si>
  <si>
    <t>COSTO DIRECTO</t>
  </si>
  <si>
    <t>SECRETARIA DE PLANEACIÓN Y OBRAS PÚBLICAS</t>
  </si>
  <si>
    <t>CODIGO</t>
  </si>
  <si>
    <t xml:space="preserve">PRESUPUESTO GENERAL </t>
  </si>
  <si>
    <t>ITEM: 1.1</t>
  </si>
  <si>
    <t>TOTAL COSTO INDIRECTO OBRA</t>
  </si>
  <si>
    <t>TOTAL OBRA</t>
  </si>
  <si>
    <t>ARQ. GUILLERMO YAMID VALLEJOS BENAVIDES</t>
  </si>
  <si>
    <t>subtotal</t>
  </si>
  <si>
    <t>M3</t>
  </si>
  <si>
    <t>OFICIAL</t>
  </si>
  <si>
    <t>ITEM: 2,1</t>
  </si>
  <si>
    <t>ITEM: 2,2</t>
  </si>
  <si>
    <t>M2</t>
  </si>
  <si>
    <t>dife</t>
  </si>
  <si>
    <t>A</t>
  </si>
  <si>
    <t>U</t>
  </si>
  <si>
    <t>total obra</t>
  </si>
  <si>
    <t>tot AIU</t>
  </si>
  <si>
    <t>KG</t>
  </si>
  <si>
    <t>ITEM: 2,3</t>
  </si>
  <si>
    <t>ITEM: 2,4</t>
  </si>
  <si>
    <t>ITEM: 2,5</t>
  </si>
  <si>
    <t>total</t>
  </si>
  <si>
    <t>APOYO PROFESIONAL SPOPM</t>
  </si>
  <si>
    <t>CIMENTACION, CONCRETOS Y MAMPOSTERIA</t>
  </si>
  <si>
    <t>SOLADO LIMPIEZA E=0.05 R-14MPA</t>
  </si>
  <si>
    <t>ACERO DE REFUERZO FY=420MPA, INCLUYE FIGURADO, AMARRE E INSTALACIÓN</t>
  </si>
  <si>
    <t>CONCRETO COLUMNAS. 21MPA (3000 PSI)</t>
  </si>
  <si>
    <t xml:space="preserve">REPLANTEO Y LOCALIZACIÓN </t>
  </si>
  <si>
    <t>BASICO I</t>
  </si>
  <si>
    <t xml:space="preserve">CONCRETO 3000 PSI </t>
  </si>
  <si>
    <t>HERRAMIENTA Y EQUIPO</t>
  </si>
  <si>
    <t>Mezcladora</t>
  </si>
  <si>
    <t>Hora</t>
  </si>
  <si>
    <t>Vibrador</t>
  </si>
  <si>
    <t>CEMENTO GRIS TIPO 1</t>
  </si>
  <si>
    <t>AGUA</t>
  </si>
  <si>
    <t>LTS</t>
  </si>
  <si>
    <t>ARENA DE RIO</t>
  </si>
  <si>
    <t>TRITURADO</t>
  </si>
  <si>
    <t>H-H</t>
  </si>
  <si>
    <t>BASICO II</t>
  </si>
  <si>
    <t>MORTERO 1:3</t>
  </si>
  <si>
    <t>BASICO III</t>
  </si>
  <si>
    <t xml:space="preserve">CONCRETO 2500 PSI </t>
  </si>
  <si>
    <t>CONCRETO 21MPA</t>
  </si>
  <si>
    <t>PUNTILLA</t>
  </si>
  <si>
    <t>LB</t>
  </si>
  <si>
    <t>TABLA ORDINARIA</t>
  </si>
  <si>
    <t>LISTON 2"x2"x3m</t>
  </si>
  <si>
    <t>ALAMBRE DULCE</t>
  </si>
  <si>
    <t>ACERO FY=420MPA</t>
  </si>
  <si>
    <t xml:space="preserve">ALAMBRE DULCE </t>
  </si>
  <si>
    <t>hora</t>
  </si>
  <si>
    <t>ANTISOL UNx20KG</t>
  </si>
  <si>
    <t>KL</t>
  </si>
  <si>
    <t>SEPARADOR DESMOLDANTE</t>
  </si>
  <si>
    <t>andamio</t>
  </si>
  <si>
    <t>MORTERO 1:3 R-17MPA</t>
  </si>
  <si>
    <t>LADRILLO  VISTO 24X12X6</t>
  </si>
  <si>
    <t>ITEM: 2,6</t>
  </si>
  <si>
    <t>ITEM: 3,1</t>
  </si>
  <si>
    <t>ITEM: 3,2</t>
  </si>
  <si>
    <t>ITEM: 3,3</t>
  </si>
  <si>
    <t>ITEM: 1.2</t>
  </si>
  <si>
    <t>CUBIERTA</t>
  </si>
  <si>
    <t>EXCAVACION MANUAL EN MATERIAL COMUN</t>
  </si>
  <si>
    <t>RETIRO Y DISPOSICION DE MATERIAL SOBRANTE</t>
  </si>
  <si>
    <t>ACABADOS</t>
  </si>
  <si>
    <t>SUMINISTRO Y APLICACIÓN ESTUCO PLASTICO ACRILICO SOBRE MUROS</t>
  </si>
  <si>
    <t>CONCRETO VIGA AEREA</t>
  </si>
  <si>
    <t>INSTALACIONES ELECTRICAS</t>
  </si>
  <si>
    <t>MEJORAMIENTOS DE PISOS</t>
  </si>
  <si>
    <t>DESMONTE DE CUBIERTA EXISTENTE</t>
  </si>
  <si>
    <t>ITEM: 1,4</t>
  </si>
  <si>
    <t>ITEM: 1,5</t>
  </si>
  <si>
    <t>ITEM: 2,7</t>
  </si>
  <si>
    <t>ITEM: 4,1</t>
  </si>
  <si>
    <t>ITEM: 4,2</t>
  </si>
  <si>
    <t>ITEM: 4,3</t>
  </si>
  <si>
    <t>ITEM: 5,1</t>
  </si>
  <si>
    <t>ITEM: 5,2</t>
  </si>
  <si>
    <t>ITEM: 5,4</t>
  </si>
  <si>
    <t>ITEM: 5,5</t>
  </si>
  <si>
    <t>ITEM: 5,6</t>
  </si>
  <si>
    <t>ITEM: 6,2</t>
  </si>
  <si>
    <t>anden fachada</t>
  </si>
  <si>
    <t>zapata</t>
  </si>
  <si>
    <t>ventana 1</t>
  </si>
  <si>
    <t>varilla 3/8</t>
  </si>
  <si>
    <t>ZAPATAS</t>
  </si>
  <si>
    <t>COLUMNA</t>
  </si>
  <si>
    <t>PESO</t>
  </si>
  <si>
    <t xml:space="preserve">contrapiso </t>
  </si>
  <si>
    <t>piso salon</t>
  </si>
  <si>
    <t>cubierta</t>
  </si>
  <si>
    <t>material de recebo</t>
  </si>
  <si>
    <t>CONTRAPISO DE CONCRETO LIVIANO DE RESISTENCIA A COMPRESIÓN 2,5 MPA ESP 6 CM</t>
  </si>
  <si>
    <t>Soldadura</t>
  </si>
  <si>
    <t>pintura coraza para exteriores</t>
  </si>
  <si>
    <t>GL</t>
  </si>
  <si>
    <t>SUMINISTRO Y APLICACIÓN PINTURA CORAZA PARA EXTERIORES 3 MANOS</t>
  </si>
  <si>
    <t>pintura esmalte con anticorrosivo</t>
  </si>
  <si>
    <t>OFICIAL ELECTRICO</t>
  </si>
  <si>
    <t>SUMINISTRO E INSTALACION DE SALIDA PARA INTERRUPTOR, INCLUYE CAJA DE IA RECTANGULAR, INTERRUPTOR Y DEMAS ACCESORIOS</t>
  </si>
  <si>
    <t>interruptor sencilla</t>
  </si>
  <si>
    <t>Andamio multidireccional de carga certificado T-4m</t>
  </si>
  <si>
    <t>hr</t>
  </si>
  <si>
    <t>Hr</t>
  </si>
  <si>
    <t xml:space="preserve">puerta metalica en lamina galvanizada cal 20 incluye marco </t>
  </si>
  <si>
    <t>ARENA</t>
  </si>
  <si>
    <t>CEMENTO</t>
  </si>
  <si>
    <t xml:space="preserve">BASICOS ZONA RURAL </t>
  </si>
  <si>
    <t xml:space="preserve">COSTOS PUESTO EN ZONA RURAL DISPERSA </t>
  </si>
  <si>
    <t>viaje de volqueta 5 M3</t>
  </si>
  <si>
    <t>bulto 50Kg, con transpr</t>
  </si>
  <si>
    <t>viaje de volqueta 6 M3</t>
  </si>
  <si>
    <t>TROMPO</t>
  </si>
  <si>
    <t>capa 2 bultos dia</t>
  </si>
  <si>
    <t>VIBRO</t>
  </si>
  <si>
    <t>alquiler dia</t>
  </si>
  <si>
    <t>ALQUILER EQUIPOS</t>
  </si>
  <si>
    <t>CONCRETO 13 MPA</t>
  </si>
  <si>
    <t>columnas</t>
  </si>
  <si>
    <t>zapatas</t>
  </si>
  <si>
    <t>PESO KG/M</t>
  </si>
  <si>
    <t>varilla 1/2</t>
  </si>
  <si>
    <t>parrilla</t>
  </si>
  <si>
    <t>ITEM: 2,8</t>
  </si>
  <si>
    <t>ventanas 2</t>
  </si>
  <si>
    <t>ITEM: 5,7</t>
  </si>
  <si>
    <t>SUMINISTRO E INSTALACIÓN DE CERAMICA PISO GENERAL (INCLUYE ALISTADO)</t>
  </si>
  <si>
    <t>GUARDAESCOBA EN CERAMICA</t>
  </si>
  <si>
    <t xml:space="preserve">emboquillador </t>
  </si>
  <si>
    <t xml:space="preserve">pegacor </t>
  </si>
  <si>
    <t>ML</t>
  </si>
  <si>
    <t>ceramica trafico 3</t>
  </si>
  <si>
    <t>localizacion aula 1</t>
  </si>
  <si>
    <t>localizacion aula 2</t>
  </si>
  <si>
    <t>DEMOLICION DE PLACA EN CONCRETO REFORZADO ENTREPISO AULA 2</t>
  </si>
  <si>
    <t>cubierta aula 1</t>
  </si>
  <si>
    <t>cubierta aula 2</t>
  </si>
  <si>
    <t>piso aula 1</t>
  </si>
  <si>
    <t>piso aula 2</t>
  </si>
  <si>
    <t>material demolicion de pisos y entrepiso</t>
  </si>
  <si>
    <t>RELLENO  Y COMPACTACION MATERIAL SELECCIONADO</t>
  </si>
  <si>
    <t>muro ladrillo aula 2</t>
  </si>
  <si>
    <t>muros aula 1</t>
  </si>
  <si>
    <t>muros laterales y muro fondo aula 2</t>
  </si>
  <si>
    <t>losa en concreto entrepiso (TERRAZA)</t>
  </si>
  <si>
    <t>piso aula 2 para construccion de zapatas</t>
  </si>
  <si>
    <t>CONCRETO PARA ZAPATAS R-21MPA</t>
  </si>
  <si>
    <t>Martillo percutor (demoledor manual)</t>
  </si>
  <si>
    <t>pulidora</t>
  </si>
  <si>
    <t>dia</t>
  </si>
  <si>
    <t>compresor</t>
  </si>
  <si>
    <t>equipo soldadura</t>
  </si>
  <si>
    <t>estructura metalica para cubierta</t>
  </si>
  <si>
    <t>Discos de corte</t>
  </si>
  <si>
    <t>Disco de pulir</t>
  </si>
  <si>
    <t>thinner</t>
  </si>
  <si>
    <t xml:space="preserve">PERFIL C Gr50  100 x 50 x 2.0mm x 6m </t>
  </si>
  <si>
    <t>KG/M</t>
  </si>
  <si>
    <t>Peso Total</t>
  </si>
  <si>
    <t>SUMINISTRO E INSTALACION DE TEJA DURATECHO</t>
  </si>
  <si>
    <t>tejas duratecho aula 1 y aula 2</t>
  </si>
  <si>
    <t>VIGUETA AEREA</t>
  </si>
  <si>
    <t>viga aerea</t>
  </si>
  <si>
    <t>Teja duratecho 4,2 * 0,85m</t>
  </si>
  <si>
    <t>Tornillo autoperforante 1 1/2"</t>
  </si>
  <si>
    <t>BOLQUETA</t>
  </si>
  <si>
    <t>Cizalla manual</t>
  </si>
  <si>
    <t>LADRILLO VISTO</t>
  </si>
  <si>
    <t>estuco plastico acrilico para exteriores y interiores</t>
  </si>
  <si>
    <t xml:space="preserve">CABALLETE </t>
  </si>
  <si>
    <t xml:space="preserve">Caballete para aula 1 </t>
  </si>
  <si>
    <t>Caballete 0.60x2.00m Cal. 26 0.45mm</t>
  </si>
  <si>
    <t>Tornillos Autoperforantes 8/18"x1/2" Zinc Hexagonal</t>
  </si>
  <si>
    <t>ventanas 3</t>
  </si>
  <si>
    <t>SEMANA 3</t>
  </si>
  <si>
    <t>SEMANA 4</t>
  </si>
  <si>
    <t>DEMOLICION MANUAL LOSA EN CONCRETO DE AULA 1</t>
  </si>
  <si>
    <t>SUMINISTRO E INSTALACION DE CABALLETE</t>
  </si>
  <si>
    <t>ventana fabricada en lamina galvanizada cal 20  y barras cuadradas incluye marco MEDIDAS 3,43x1,5 m</t>
  </si>
  <si>
    <t>ventana fabricada en lamina galvanizada cal 20  y barras cuadradas incluye marco MEDIDAS 1,6x1,5 m</t>
  </si>
  <si>
    <t>ventana fabricada en lamina galvanizada cal 20  y barras cuadradas incluye marco MEDIDAS 1,98x1,75 m</t>
  </si>
  <si>
    <t>VENTANA TIPO REJA EN MARCO GALVANIZADO BARRA CUADRADA MEDIDAS 3,43X1,5 m</t>
  </si>
  <si>
    <t>SUMINISTRO E INSTALACION DE PUERTA METALICA   MEDIDAS 1,20X2,3M</t>
  </si>
  <si>
    <t>VENTANA TIPO REJA EN MARCO GALVANIZADO BARRA CUADRADA MEDIDAS 1,40X1,50 m</t>
  </si>
  <si>
    <t>Planta electricaYAMAHA EF2600D 110-220</t>
  </si>
  <si>
    <t>ESTRUCTURA METALICA PARA CUBIERTA EN PERFIL C Gr50  100 x 50 x 2.0mm x 6m (Incluye soldadura)</t>
  </si>
  <si>
    <t>SUMINISTRO E INSTALACION DE SALIDA DE LAMPARA LED DE 24W INLUYE CAJA DE ALUMINIO OCTAGONAL Y DEMAS ACCEORIOS</t>
  </si>
  <si>
    <t>SUMINISTRO E INSTALACION DE SALIDA PARA TOMACORRIENTE DE USO GENERAL, INCLUYE CAJA PLASTICA, TOMA CORRIENTE Y DEMAS ACCESORIOS</t>
  </si>
  <si>
    <t>toma corriente doble</t>
  </si>
  <si>
    <t>alambre cobre No 12 para la fase (rojo)</t>
  </si>
  <si>
    <t>m</t>
  </si>
  <si>
    <t>alambre cobre No 12 para la neutro (blanco)</t>
  </si>
  <si>
    <t>alambre cobre No 12 para la tierra (verde)</t>
  </si>
  <si>
    <t>tubo pvc conduit 1/2" x 3 mt</t>
  </si>
  <si>
    <t>lampara led 24w</t>
  </si>
  <si>
    <t>caja de aluminio octagonal</t>
  </si>
  <si>
    <t>alambre de cobre No 12 fase (rojo)</t>
  </si>
  <si>
    <t>alambre de cobre No 12 neutro (blanco)</t>
  </si>
  <si>
    <t>alambre de cobre No 12 tierra (verde)</t>
  </si>
  <si>
    <t>adaptador terminal de 1/2"</t>
  </si>
  <si>
    <t>curva de 1/2" EMT</t>
  </si>
  <si>
    <t>accesorios varios</t>
  </si>
  <si>
    <t>ITEM: 6,1</t>
  </si>
  <si>
    <t>SUMINISTRO E INSTALACION DE SALIDA PARA TOMACORRIENTE DE USO GENERAL, INCLUYE CAJA PLASTICA, TOMA CORRIENTE Y DEMAS ACCESORIOS RECTANGULAR, INTERRUPTOR Y DEMAS ACCESORIOS</t>
  </si>
  <si>
    <t>ITEM: 6,3</t>
  </si>
  <si>
    <t>Tubo Conduit Tl 1/2 Pulgada 3 Metros</t>
  </si>
  <si>
    <t>VENTANA TIPO REJA EN MARCO GALVANIZADO BARRA CUADRADA  MEDIDAS 1,98X1,45 M</t>
  </si>
  <si>
    <t>ITEM: 1,6</t>
  </si>
  <si>
    <t>DEMOLICION MANUAL MURO AULA 2 (EJE B)</t>
  </si>
  <si>
    <t>Demolicion muro divisorio de aula 2</t>
  </si>
  <si>
    <t>CERRAMIENTO PERIMETRAL CON LONA VERDE</t>
  </si>
  <si>
    <t>Cerramiento perimetral en obra</t>
  </si>
  <si>
    <t>ITEM: 1.3</t>
  </si>
  <si>
    <t>ITEM: 1,7</t>
  </si>
  <si>
    <t>alambre negro</t>
  </si>
  <si>
    <t>puntilla 2"</t>
  </si>
  <si>
    <t>tela de cerramiento en polipropoleno verde m</t>
  </si>
  <si>
    <t>lb</t>
  </si>
  <si>
    <t xml:space="preserve">Liston L=3 M </t>
  </si>
  <si>
    <t>IVA</t>
  </si>
  <si>
    <t>VALOR TOTAL PPTO</t>
  </si>
  <si>
    <t>VALOR TOTAL PPTO-IVA</t>
  </si>
  <si>
    <t>Edicion de informes Fotografias</t>
  </si>
  <si>
    <t>1.3 IMPUESTOS DE OBRA</t>
  </si>
  <si>
    <t>Retefuente</t>
  </si>
  <si>
    <t>Servicios (reteica) contratos de obra, y consultorias</t>
  </si>
  <si>
    <t xml:space="preserve">Contribucion ciudadana </t>
  </si>
  <si>
    <t>ESTAMPILLAS</t>
  </si>
  <si>
    <t>Estampilla para el bienestar del adulto mayor</t>
  </si>
  <si>
    <t xml:space="preserve">estampilla procultura </t>
  </si>
  <si>
    <t>estampilla para justicia</t>
  </si>
  <si>
    <t>TOTAL IMPREVISTO</t>
  </si>
  <si>
    <t>COSTO INDIRECTO (32%)</t>
  </si>
  <si>
    <t>tasa prodeporte contrato de minima cuantia desde 1 a 28 SLMV</t>
  </si>
  <si>
    <t>ING JHON ALEXANDER ARIAS</t>
  </si>
  <si>
    <t>MP 111037-0703225 NRÑ</t>
  </si>
  <si>
    <t>ADECUACION Y MEJORAMIENTO DE AULAS ESCOLARES UBICADA EN LA INSTITUCION EDUCATIVA TECNICO COMERCIAL LA DORADA SEDE ESCUELA CENTRAL DEL MUNICIPIO DE SAN MIGUEL PUTUMAYO</t>
  </si>
  <si>
    <t>MURO EN LADRILLO FAROL NUMERO 4 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</si>
</sst>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0_);_(&quot;$&quot;\ * \(#,##0.000\);_(&quot;$&quot;\ * &quot;-&quot;??_);_(@_)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_ &quot;$&quot;\ * #,##0_ ;_ &quot;$&quot;\ * \-#,##0_ ;_ &quot;$&quot;\ * &quot;-&quot;_ ;_ @_ "/>
    <numFmt numFmtId="174" formatCode="_(&quot;C$&quot;* #,##0.00_);_(&quot;C$&quot;* \(#,##0.00\);_(&quot;C$&quot;* &quot;-&quot;??_);_(@_)"/>
    <numFmt numFmtId="175" formatCode="0.000"/>
    <numFmt numFmtId="176" formatCode="0.0"/>
    <numFmt numFmtId="177" formatCode="_-[$$-240A]\ * #,##0.00_ ;_-[$$-240A]\ * \-#,##0.00\ ;_-[$$-240A]\ * &quot;-&quot;??_ ;_-@_ "/>
    <numFmt numFmtId="178" formatCode="_(&quot;$&quot;\ * #,##0_);_(&quot;$&quot;\ * \(#,##0\);_(&quot;$&quot;\ * &quot;-&quot;??_);_(@_)"/>
    <numFmt numFmtId="179" formatCode="_-[$$-240A]\ * #,##0_ ;_-[$$-240A]\ * \-#,##0\ ;_-[$$-240A]\ * &quot;-&quot;??_ ;_-@_ "/>
    <numFmt numFmtId="180" formatCode="_-&quot;$&quot;\ * #,##0_-;\-&quot;$&quot;\ * #,##0_-;_-&quot;$&quot;\ * &quot;-&quot;??_-;_-@_-"/>
    <numFmt numFmtId="181" formatCode="0.0%"/>
    <numFmt numFmtId="182" formatCode="_-&quot;$&quot;* #,##0_-;\-&quot;$&quot;* #,##0_-;_-&quot;$&quot;* &quot;-&quot;??_-;_-@_-"/>
    <numFmt numFmtId="183" formatCode="0.000000%"/>
    <numFmt numFmtId="184" formatCode="_-&quot;$&quot;* #,##0.0_-;\-&quot;$&quot;* #,##0.0_-;_-&quot;$&quot;* &quot;-&quot;_-;_-@_-"/>
    <numFmt numFmtId="185" formatCode="#,##0.000"/>
    <numFmt numFmtId="186" formatCode="_-&quot;$&quot;* #,##0.00_-;\-&quot;$&quot;* #,##0.00_-;_-&quot;$&quot;* &quot;-&quot;??_-;_-@_-"/>
    <numFmt numFmtId="187" formatCode="_-&quot;$&quot;\ * #,##0.000_-;\-&quot;$&quot;\ * #,##0.000_-;_-&quot;$&quot;\ * &quot;-&quot;??_-;_-@_-"/>
    <numFmt numFmtId="188" formatCode="_-&quot;$&quot;* #,##0.0_-;\-&quot;$&quot;* #,##0.0_-;_-&quot;$&quot;* &quot;-&quot;??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i/>
      <sz val="10"/>
      <name val="Arial Narrow"/>
      <family val="2"/>
    </font>
    <font>
      <sz val="10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color rgb="FFFF0000"/>
      <name val="Arial Narrow"/>
      <family val="2"/>
    </font>
    <font>
      <b/>
      <i/>
      <sz val="11"/>
      <color theme="1"/>
      <name val="Arial Narrow"/>
      <family val="2"/>
    </font>
    <font>
      <b/>
      <sz val="14"/>
      <name val="Arial Narrow"/>
      <family val="2"/>
    </font>
    <font>
      <b/>
      <i/>
      <sz val="1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3E7ED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3" tint="0.39994506668294322"/>
      </left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0"/>
      </right>
      <top style="thin">
        <color theme="1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6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30" fillId="0" borderId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7">
    <xf numFmtId="0" fontId="0" fillId="0" borderId="0" xfId="0"/>
    <xf numFmtId="0" fontId="2" fillId="2" borderId="0" xfId="0" applyFont="1" applyFill="1"/>
    <xf numFmtId="0" fontId="0" fillId="3" borderId="0" xfId="0" applyFill="1"/>
    <xf numFmtId="165" fontId="7" fillId="0" borderId="0" xfId="3" applyFont="1" applyFill="1"/>
    <xf numFmtId="0" fontId="8" fillId="0" borderId="0" xfId="0" applyFont="1"/>
    <xf numFmtId="165" fontId="7" fillId="0" borderId="0" xfId="3" applyFont="1"/>
    <xf numFmtId="169" fontId="8" fillId="0" borderId="0" xfId="0" applyNumberFormat="1" applyFont="1"/>
    <xf numFmtId="0" fontId="7" fillId="0" borderId="0" xfId="0" applyFont="1"/>
    <xf numFmtId="165" fontId="8" fillId="0" borderId="0" xfId="0" applyNumberFormat="1" applyFont="1"/>
    <xf numFmtId="0" fontId="13" fillId="0" borderId="0" xfId="0" applyFont="1"/>
    <xf numFmtId="165" fontId="9" fillId="0" borderId="0" xfId="3" applyFont="1"/>
    <xf numFmtId="165" fontId="9" fillId="0" borderId="0" xfId="0" applyNumberFormat="1" applyFont="1"/>
    <xf numFmtId="165" fontId="7" fillId="0" borderId="0" xfId="0" applyNumberFormat="1" applyFont="1"/>
    <xf numFmtId="164" fontId="8" fillId="0" borderId="0" xfId="1" applyFont="1" applyFill="1"/>
    <xf numFmtId="0" fontId="3" fillId="0" borderId="0" xfId="2"/>
    <xf numFmtId="2" fontId="3" fillId="0" borderId="0" xfId="2" applyNumberFormat="1"/>
    <xf numFmtId="0" fontId="3" fillId="0" borderId="0" xfId="2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wrapText="1"/>
    </xf>
    <xf numFmtId="0" fontId="17" fillId="0" borderId="0" xfId="0" applyFont="1"/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0" fontId="17" fillId="0" borderId="0" xfId="0" applyFont="1" applyAlignment="1">
      <alignment wrapText="1"/>
    </xf>
    <xf numFmtId="175" fontId="18" fillId="0" borderId="0" xfId="0" applyNumberFormat="1" applyFont="1"/>
    <xf numFmtId="2" fontId="18" fillId="0" borderId="4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wrapText="1"/>
    </xf>
    <xf numFmtId="0" fontId="18" fillId="0" borderId="5" xfId="0" applyFont="1" applyBorder="1"/>
    <xf numFmtId="0" fontId="10" fillId="0" borderId="0" xfId="0" applyFont="1"/>
    <xf numFmtId="0" fontId="18" fillId="0" borderId="9" xfId="0" applyFont="1" applyBorder="1" applyAlignment="1">
      <alignment vertical="center"/>
    </xf>
    <xf numFmtId="0" fontId="18" fillId="0" borderId="10" xfId="0" applyFont="1" applyBorder="1"/>
    <xf numFmtId="0" fontId="18" fillId="0" borderId="11" xfId="0" applyFont="1" applyBorder="1"/>
    <xf numFmtId="0" fontId="21" fillId="0" borderId="4" xfId="0" applyFont="1" applyBorder="1" applyAlignment="1">
      <alignment vertical="center"/>
    </xf>
    <xf numFmtId="0" fontId="21" fillId="0" borderId="5" xfId="0" applyFont="1" applyBorder="1"/>
    <xf numFmtId="0" fontId="18" fillId="0" borderId="21" xfId="0" applyFont="1" applyBorder="1" applyAlignment="1">
      <alignment wrapText="1"/>
    </xf>
    <xf numFmtId="0" fontId="18" fillId="0" borderId="21" xfId="0" applyFont="1" applyBorder="1"/>
    <xf numFmtId="175" fontId="18" fillId="0" borderId="21" xfId="0" applyNumberFormat="1" applyFont="1" applyBorder="1"/>
    <xf numFmtId="0" fontId="18" fillId="0" borderId="10" xfId="0" applyFont="1" applyBorder="1" applyAlignment="1">
      <alignment vertical="center"/>
    </xf>
    <xf numFmtId="2" fontId="18" fillId="0" borderId="0" xfId="0" applyNumberFormat="1" applyFont="1" applyAlignment="1">
      <alignment horizontal="center"/>
    </xf>
    <xf numFmtId="2" fontId="17" fillId="0" borderId="5" xfId="0" applyNumberFormat="1" applyFont="1" applyBorder="1" applyAlignment="1">
      <alignment horizontal="center"/>
    </xf>
    <xf numFmtId="2" fontId="18" fillId="0" borderId="0" xfId="13" applyNumberFormat="1" applyFont="1" applyFill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5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vertical="center"/>
    </xf>
    <xf numFmtId="0" fontId="17" fillId="5" borderId="5" xfId="0" applyFont="1" applyFill="1" applyBorder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0" fontId="17" fillId="5" borderId="4" xfId="0" applyFont="1" applyFill="1" applyBorder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3" fillId="4" borderId="0" xfId="2" applyFill="1"/>
    <xf numFmtId="0" fontId="3" fillId="4" borderId="10" xfId="2" applyFill="1" applyBorder="1"/>
    <xf numFmtId="0" fontId="3" fillId="4" borderId="4" xfId="2" applyFill="1" applyBorder="1"/>
    <xf numFmtId="0" fontId="3" fillId="4" borderId="5" xfId="2" applyFill="1" applyBorder="1"/>
    <xf numFmtId="0" fontId="10" fillId="4" borderId="0" xfId="2" applyFont="1" applyFill="1"/>
    <xf numFmtId="0" fontId="10" fillId="4" borderId="5" xfId="2" applyFont="1" applyFill="1" applyBorder="1"/>
    <xf numFmtId="0" fontId="3" fillId="4" borderId="24" xfId="2" applyFill="1" applyBorder="1"/>
    <xf numFmtId="0" fontId="3" fillId="4" borderId="25" xfId="2" applyFill="1" applyBorder="1"/>
    <xf numFmtId="4" fontId="3" fillId="4" borderId="26" xfId="2" applyNumberFormat="1" applyFill="1" applyBorder="1"/>
    <xf numFmtId="0" fontId="3" fillId="4" borderId="27" xfId="2" applyFill="1" applyBorder="1"/>
    <xf numFmtId="0" fontId="3" fillId="4" borderId="28" xfId="2" applyFill="1" applyBorder="1"/>
    <xf numFmtId="4" fontId="3" fillId="4" borderId="21" xfId="2" applyNumberFormat="1" applyFill="1" applyBorder="1"/>
    <xf numFmtId="0" fontId="3" fillId="4" borderId="21" xfId="2" applyFill="1" applyBorder="1"/>
    <xf numFmtId="0" fontId="3" fillId="4" borderId="20" xfId="2" applyFill="1" applyBorder="1"/>
    <xf numFmtId="0" fontId="3" fillId="4" borderId="29" xfId="2" applyFill="1" applyBorder="1"/>
    <xf numFmtId="0" fontId="10" fillId="4" borderId="18" xfId="2" applyFont="1" applyFill="1" applyBorder="1" applyAlignment="1">
      <alignment horizontal="center"/>
    </xf>
    <xf numFmtId="0" fontId="10" fillId="4" borderId="16" xfId="2" applyFont="1" applyFill="1" applyBorder="1" applyAlignment="1">
      <alignment horizontal="center"/>
    </xf>
    <xf numFmtId="0" fontId="3" fillId="4" borderId="15" xfId="2" applyFill="1" applyBorder="1" applyAlignment="1">
      <alignment horizontal="center"/>
    </xf>
    <xf numFmtId="0" fontId="3" fillId="4" borderId="30" xfId="2" applyFill="1" applyBorder="1" applyAlignment="1">
      <alignment horizontal="center"/>
    </xf>
    <xf numFmtId="0" fontId="3" fillId="4" borderId="31" xfId="2" applyFill="1" applyBorder="1" applyAlignment="1">
      <alignment horizontal="center"/>
    </xf>
    <xf numFmtId="0" fontId="3" fillId="4" borderId="16" xfId="2" applyFill="1" applyBorder="1" applyAlignment="1">
      <alignment horizontal="center"/>
    </xf>
    <xf numFmtId="0" fontId="3" fillId="4" borderId="15" xfId="2" applyFill="1" applyBorder="1"/>
    <xf numFmtId="0" fontId="3" fillId="4" borderId="31" xfId="2" applyFill="1" applyBorder="1"/>
    <xf numFmtId="0" fontId="3" fillId="4" borderId="30" xfId="2" applyFill="1" applyBorder="1"/>
    <xf numFmtId="4" fontId="3" fillId="4" borderId="16" xfId="2" applyNumberFormat="1" applyFill="1" applyBorder="1"/>
    <xf numFmtId="4" fontId="3" fillId="4" borderId="30" xfId="2" applyNumberFormat="1" applyFill="1" applyBorder="1"/>
    <xf numFmtId="4" fontId="3" fillId="4" borderId="5" xfId="2" applyNumberFormat="1" applyFill="1" applyBorder="1"/>
    <xf numFmtId="2" fontId="3" fillId="4" borderId="5" xfId="2" applyNumberFormat="1" applyFill="1" applyBorder="1"/>
    <xf numFmtId="0" fontId="3" fillId="4" borderId="16" xfId="2" applyFill="1" applyBorder="1"/>
    <xf numFmtId="0" fontId="3" fillId="4" borderId="32" xfId="2" applyFill="1" applyBorder="1"/>
    <xf numFmtId="4" fontId="3" fillId="4" borderId="0" xfId="2" applyNumberFormat="1" applyFill="1"/>
    <xf numFmtId="2" fontId="3" fillId="4" borderId="17" xfId="2" applyNumberFormat="1" applyFill="1" applyBorder="1"/>
    <xf numFmtId="0" fontId="10" fillId="4" borderId="15" xfId="2" applyFont="1" applyFill="1" applyBorder="1" applyAlignment="1">
      <alignment horizontal="center"/>
    </xf>
    <xf numFmtId="0" fontId="3" fillId="4" borderId="24" xfId="2" applyFill="1" applyBorder="1" applyAlignment="1">
      <alignment horizontal="center"/>
    </xf>
    <xf numFmtId="4" fontId="3" fillId="4" borderId="16" xfId="2" applyNumberFormat="1" applyFill="1" applyBorder="1" applyAlignment="1">
      <alignment horizontal="center"/>
    </xf>
    <xf numFmtId="2" fontId="3" fillId="4" borderId="30" xfId="2" applyNumberFormat="1" applyFill="1" applyBorder="1"/>
    <xf numFmtId="3" fontId="3" fillId="4" borderId="16" xfId="2" applyNumberFormat="1" applyFill="1" applyBorder="1"/>
    <xf numFmtId="172" fontId="3" fillId="4" borderId="16" xfId="2" applyNumberFormat="1" applyFill="1" applyBorder="1"/>
    <xf numFmtId="164" fontId="3" fillId="4" borderId="16" xfId="1" applyFont="1" applyFill="1" applyBorder="1"/>
    <xf numFmtId="9" fontId="3" fillId="4" borderId="16" xfId="2" applyNumberFormat="1" applyFill="1" applyBorder="1"/>
    <xf numFmtId="176" fontId="3" fillId="4" borderId="16" xfId="2" applyNumberFormat="1" applyFill="1" applyBorder="1"/>
    <xf numFmtId="0" fontId="15" fillId="4" borderId="31" xfId="2" applyFont="1" applyFill="1" applyBorder="1" applyAlignment="1">
      <alignment horizontal="center"/>
    </xf>
    <xf numFmtId="0" fontId="15" fillId="4" borderId="16" xfId="2" applyFont="1" applyFill="1" applyBorder="1" applyAlignment="1">
      <alignment horizontal="center"/>
    </xf>
    <xf numFmtId="4" fontId="10" fillId="4" borderId="0" xfId="2" applyNumberFormat="1" applyFont="1" applyFill="1"/>
    <xf numFmtId="0" fontId="3" fillId="4" borderId="18" xfId="2" applyFill="1" applyBorder="1" applyAlignment="1">
      <alignment horizontal="center"/>
    </xf>
    <xf numFmtId="4" fontId="3" fillId="4" borderId="31" xfId="2" applyNumberFormat="1" applyFill="1" applyBorder="1"/>
    <xf numFmtId="3" fontId="3" fillId="4" borderId="31" xfId="2" applyNumberFormat="1" applyFill="1" applyBorder="1"/>
    <xf numFmtId="4" fontId="3" fillId="4" borderId="10" xfId="2" applyNumberFormat="1" applyFill="1" applyBorder="1"/>
    <xf numFmtId="0" fontId="10" fillId="4" borderId="21" xfId="2" applyFont="1" applyFill="1" applyBorder="1"/>
    <xf numFmtId="4" fontId="10" fillId="4" borderId="21" xfId="2" applyNumberFormat="1" applyFont="1" applyFill="1" applyBorder="1"/>
    <xf numFmtId="4" fontId="3" fillId="4" borderId="4" xfId="2" applyNumberFormat="1" applyFill="1" applyBorder="1"/>
    <xf numFmtId="0" fontId="12" fillId="4" borderId="4" xfId="0" applyFont="1" applyFill="1" applyBorder="1" applyAlignment="1">
      <alignment horizontal="left" vertical="center"/>
    </xf>
    <xf numFmtId="0" fontId="12" fillId="4" borderId="0" xfId="0" applyFont="1" applyFill="1"/>
    <xf numFmtId="0" fontId="12" fillId="4" borderId="4" xfId="0" applyFont="1" applyFill="1" applyBorder="1" applyAlignment="1">
      <alignment vertical="center"/>
    </xf>
    <xf numFmtId="0" fontId="12" fillId="4" borderId="10" xfId="0" applyFont="1" applyFill="1" applyBorder="1"/>
    <xf numFmtId="4" fontId="3" fillId="4" borderId="11" xfId="2" applyNumberFormat="1" applyFill="1" applyBorder="1"/>
    <xf numFmtId="3" fontId="12" fillId="4" borderId="9" xfId="2" applyNumberFormat="1" applyFont="1" applyFill="1" applyBorder="1"/>
    <xf numFmtId="177" fontId="3" fillId="4" borderId="16" xfId="2" applyNumberFormat="1" applyFill="1" applyBorder="1"/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170" fontId="17" fillId="4" borderId="19" xfId="3" applyNumberFormat="1" applyFont="1" applyFill="1" applyBorder="1" applyAlignment="1">
      <alignment horizontal="center" vertical="center"/>
    </xf>
    <xf numFmtId="171" fontId="17" fillId="4" borderId="40" xfId="3" applyNumberFormat="1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vertical="center" wrapText="1"/>
    </xf>
    <xf numFmtId="0" fontId="17" fillId="4" borderId="14" xfId="0" applyFont="1" applyFill="1" applyBorder="1" applyAlignment="1">
      <alignment vertical="center" wrapText="1"/>
    </xf>
    <xf numFmtId="0" fontId="18" fillId="4" borderId="15" xfId="0" applyFont="1" applyFill="1" applyBorder="1" applyAlignment="1">
      <alignment horizontal="center" vertical="center"/>
    </xf>
    <xf numFmtId="4" fontId="18" fillId="4" borderId="16" xfId="0" applyNumberFormat="1" applyFont="1" applyFill="1" applyBorder="1" applyAlignment="1">
      <alignment vertical="center"/>
    </xf>
    <xf numFmtId="4" fontId="18" fillId="4" borderId="16" xfId="0" applyNumberFormat="1" applyFont="1" applyFill="1" applyBorder="1" applyAlignment="1">
      <alignment horizontal="center" vertical="center"/>
    </xf>
    <xf numFmtId="2" fontId="18" fillId="4" borderId="16" xfId="0" applyNumberFormat="1" applyFont="1" applyFill="1" applyBorder="1" applyAlignment="1">
      <alignment horizontal="center" vertical="center"/>
    </xf>
    <xf numFmtId="170" fontId="18" fillId="4" borderId="16" xfId="3" applyNumberFormat="1" applyFont="1" applyFill="1" applyBorder="1" applyAlignment="1">
      <alignment horizontal="center" vertical="center"/>
    </xf>
    <xf numFmtId="165" fontId="18" fillId="4" borderId="17" xfId="3" applyFont="1" applyFill="1" applyBorder="1" applyAlignment="1">
      <alignment horizontal="center" vertical="center"/>
    </xf>
    <xf numFmtId="4" fontId="17" fillId="4" borderId="16" xfId="0" applyNumberFormat="1" applyFont="1" applyFill="1" applyBorder="1" applyAlignment="1">
      <alignment vertical="center"/>
    </xf>
    <xf numFmtId="0" fontId="18" fillId="4" borderId="16" xfId="0" applyFont="1" applyFill="1" applyBorder="1" applyAlignment="1">
      <alignment horizontal="center" vertical="center"/>
    </xf>
    <xf numFmtId="170" fontId="17" fillId="4" borderId="17" xfId="3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71" fontId="18" fillId="4" borderId="17" xfId="3" applyNumberFormat="1" applyFont="1" applyFill="1" applyBorder="1" applyAlignment="1">
      <alignment horizontal="center" vertical="center"/>
    </xf>
    <xf numFmtId="170" fontId="18" fillId="4" borderId="17" xfId="3" applyNumberFormat="1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4" fontId="18" fillId="4" borderId="13" xfId="0" applyNumberFormat="1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2" fontId="18" fillId="4" borderId="13" xfId="0" applyNumberFormat="1" applyFont="1" applyFill="1" applyBorder="1" applyAlignment="1">
      <alignment horizontal="center" vertical="center"/>
    </xf>
    <xf numFmtId="170" fontId="18" fillId="4" borderId="13" xfId="3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horizontal="center" vertical="center" wrapText="1"/>
    </xf>
    <xf numFmtId="2" fontId="18" fillId="4" borderId="13" xfId="0" applyNumberFormat="1" applyFont="1" applyFill="1" applyBorder="1" applyAlignment="1">
      <alignment horizontal="center" vertical="center" wrapText="1"/>
    </xf>
    <xf numFmtId="164" fontId="18" fillId="4" borderId="13" xfId="1" applyFont="1" applyFill="1" applyBorder="1" applyAlignment="1">
      <alignment vertical="center" wrapText="1"/>
    </xf>
    <xf numFmtId="4" fontId="18" fillId="4" borderId="16" xfId="0" applyNumberFormat="1" applyFont="1" applyFill="1" applyBorder="1" applyAlignment="1">
      <alignment vertical="center" wrapText="1"/>
    </xf>
    <xf numFmtId="2" fontId="18" fillId="4" borderId="15" xfId="0" applyNumberFormat="1" applyFont="1" applyFill="1" applyBorder="1" applyAlignment="1">
      <alignment horizontal="center" vertical="center"/>
    </xf>
    <xf numFmtId="2" fontId="17" fillId="4" borderId="15" xfId="0" applyNumberFormat="1" applyFont="1" applyFill="1" applyBorder="1" applyAlignment="1">
      <alignment horizontal="center" vertical="center"/>
    </xf>
    <xf numFmtId="170" fontId="17" fillId="4" borderId="30" xfId="3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vertical="center" wrapText="1"/>
    </xf>
    <xf numFmtId="170" fontId="17" fillId="4" borderId="35" xfId="3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170" fontId="18" fillId="4" borderId="0" xfId="3" applyNumberFormat="1" applyFont="1" applyFill="1" applyAlignment="1">
      <alignment horizontal="center" vertical="center"/>
    </xf>
    <xf numFmtId="171" fontId="18" fillId="4" borderId="0" xfId="3" applyNumberFormat="1" applyFont="1" applyFill="1" applyAlignment="1">
      <alignment horizontal="center" vertical="center"/>
    </xf>
    <xf numFmtId="171" fontId="18" fillId="4" borderId="43" xfId="3" applyNumberFormat="1" applyFont="1" applyFill="1" applyBorder="1" applyAlignment="1">
      <alignment horizontal="center" vertical="center"/>
    </xf>
    <xf numFmtId="171" fontId="18" fillId="4" borderId="42" xfId="3" applyNumberFormat="1" applyFont="1" applyFill="1" applyBorder="1" applyAlignment="1">
      <alignment horizontal="center" vertical="center"/>
    </xf>
    <xf numFmtId="171" fontId="18" fillId="4" borderId="31" xfId="3" applyNumberFormat="1" applyFont="1" applyFill="1" applyBorder="1" applyAlignment="1">
      <alignment horizontal="center" vertical="center"/>
    </xf>
    <xf numFmtId="171" fontId="18" fillId="4" borderId="38" xfId="3" applyNumberFormat="1" applyFont="1" applyFill="1" applyBorder="1" applyAlignment="1">
      <alignment horizontal="center" vertical="center"/>
    </xf>
    <xf numFmtId="171" fontId="18" fillId="4" borderId="40" xfId="3" applyNumberFormat="1" applyFont="1" applyFill="1" applyBorder="1" applyAlignment="1">
      <alignment horizontal="center" vertical="center"/>
    </xf>
    <xf numFmtId="171" fontId="17" fillId="4" borderId="6" xfId="3" applyNumberFormat="1" applyFont="1" applyFill="1" applyBorder="1" applyAlignment="1">
      <alignment horizontal="center" vertical="center"/>
    </xf>
    <xf numFmtId="171" fontId="17" fillId="4" borderId="44" xfId="3" applyNumberFormat="1" applyFont="1" applyFill="1" applyBorder="1" applyAlignment="1">
      <alignment horizontal="center" vertical="center"/>
    </xf>
    <xf numFmtId="171" fontId="18" fillId="4" borderId="0" xfId="3" applyNumberFormat="1" applyFont="1" applyFill="1" applyBorder="1" applyAlignment="1">
      <alignment horizontal="center" vertical="center"/>
    </xf>
    <xf numFmtId="170" fontId="18" fillId="4" borderId="0" xfId="3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/>
    </xf>
    <xf numFmtId="170" fontId="18" fillId="4" borderId="10" xfId="3" applyNumberFormat="1" applyFont="1" applyFill="1" applyBorder="1" applyAlignment="1">
      <alignment horizontal="left" vertical="center"/>
    </xf>
    <xf numFmtId="171" fontId="18" fillId="4" borderId="10" xfId="3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left" vertical="center"/>
    </xf>
    <xf numFmtId="170" fontId="17" fillId="4" borderId="0" xfId="3" applyNumberFormat="1" applyFont="1" applyFill="1" applyAlignment="1">
      <alignment horizontal="left" vertical="center"/>
    </xf>
    <xf numFmtId="171" fontId="17" fillId="4" borderId="0" xfId="3" applyNumberFormat="1" applyFont="1" applyFill="1" applyAlignment="1">
      <alignment horizontal="center" vertical="center"/>
    </xf>
    <xf numFmtId="4" fontId="22" fillId="4" borderId="16" xfId="0" applyNumberFormat="1" applyFont="1" applyFill="1" applyBorder="1" applyAlignment="1">
      <alignment horizontal="center" vertical="center"/>
    </xf>
    <xf numFmtId="2" fontId="22" fillId="4" borderId="16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 wrapText="1"/>
    </xf>
    <xf numFmtId="165" fontId="24" fillId="0" borderId="0" xfId="3" applyFont="1"/>
    <xf numFmtId="0" fontId="24" fillId="0" borderId="0" xfId="0" applyFont="1"/>
    <xf numFmtId="169" fontId="24" fillId="0" borderId="0" xfId="0" applyNumberFormat="1" applyFont="1"/>
    <xf numFmtId="165" fontId="24" fillId="0" borderId="0" xfId="3" applyFont="1" applyFill="1"/>
    <xf numFmtId="171" fontId="19" fillId="0" borderId="0" xfId="3" applyNumberFormat="1" applyFont="1" applyFill="1" applyBorder="1" applyAlignment="1">
      <alignment horizontal="center" vertical="center"/>
    </xf>
    <xf numFmtId="165" fontId="24" fillId="0" borderId="0" xfId="0" applyNumberFormat="1" applyFont="1"/>
    <xf numFmtId="171" fontId="20" fillId="0" borderId="0" xfId="3" applyNumberFormat="1" applyFont="1" applyFill="1" applyAlignment="1">
      <alignment horizontal="center" vertical="center"/>
    </xf>
    <xf numFmtId="165" fontId="25" fillId="0" borderId="0" xfId="3" applyFont="1"/>
    <xf numFmtId="165" fontId="25" fillId="0" borderId="0" xfId="0" applyNumberFormat="1" applyFont="1"/>
    <xf numFmtId="2" fontId="20" fillId="4" borderId="16" xfId="0" applyNumberFormat="1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170" fontId="20" fillId="0" borderId="0" xfId="3" applyNumberFormat="1" applyFont="1" applyFill="1" applyAlignment="1">
      <alignment horizontal="center" vertical="center"/>
    </xf>
    <xf numFmtId="165" fontId="20" fillId="0" borderId="0" xfId="14" applyFont="1" applyFill="1" applyAlignment="1">
      <alignment horizontal="center" vertical="center"/>
    </xf>
    <xf numFmtId="170" fontId="20" fillId="4" borderId="0" xfId="3" applyNumberFormat="1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170" fontId="19" fillId="4" borderId="16" xfId="3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 wrapText="1"/>
    </xf>
    <xf numFmtId="170" fontId="19" fillId="4" borderId="0" xfId="3" applyNumberFormat="1" applyFont="1" applyFill="1" applyBorder="1" applyAlignment="1">
      <alignment horizontal="center" vertical="center"/>
    </xf>
    <xf numFmtId="0" fontId="23" fillId="4" borderId="16" xfId="2" applyFont="1" applyFill="1" applyBorder="1"/>
    <xf numFmtId="0" fontId="23" fillId="0" borderId="0" xfId="2" applyFont="1"/>
    <xf numFmtId="0" fontId="23" fillId="4" borderId="4" xfId="2" applyFont="1" applyFill="1" applyBorder="1"/>
    <xf numFmtId="0" fontId="23" fillId="4" borderId="0" xfId="2" applyFont="1" applyFill="1"/>
    <xf numFmtId="4" fontId="23" fillId="4" borderId="21" xfId="2" applyNumberFormat="1" applyFont="1" applyFill="1" applyBorder="1"/>
    <xf numFmtId="0" fontId="23" fillId="4" borderId="21" xfId="2" applyFont="1" applyFill="1" applyBorder="1"/>
    <xf numFmtId="0" fontId="23" fillId="4" borderId="20" xfId="2" applyFont="1" applyFill="1" applyBorder="1"/>
    <xf numFmtId="0" fontId="27" fillId="4" borderId="16" xfId="2" applyFont="1" applyFill="1" applyBorder="1" applyAlignment="1">
      <alignment horizontal="center"/>
    </xf>
    <xf numFmtId="4" fontId="23" fillId="4" borderId="16" xfId="2" applyNumberFormat="1" applyFont="1" applyFill="1" applyBorder="1"/>
    <xf numFmtId="4" fontId="23" fillId="4" borderId="0" xfId="2" applyNumberFormat="1" applyFont="1" applyFill="1"/>
    <xf numFmtId="4" fontId="23" fillId="4" borderId="16" xfId="2" applyNumberFormat="1" applyFont="1" applyFill="1" applyBorder="1" applyAlignment="1">
      <alignment horizontal="center"/>
    </xf>
    <xf numFmtId="3" fontId="23" fillId="4" borderId="16" xfId="2" applyNumberFormat="1" applyFont="1" applyFill="1" applyBorder="1"/>
    <xf numFmtId="164" fontId="23" fillId="4" borderId="16" xfId="1" applyFont="1" applyFill="1" applyBorder="1"/>
    <xf numFmtId="9" fontId="23" fillId="4" borderId="16" xfId="2" applyNumberFormat="1" applyFont="1" applyFill="1" applyBorder="1"/>
    <xf numFmtId="1" fontId="23" fillId="4" borderId="16" xfId="2" applyNumberFormat="1" applyFont="1" applyFill="1" applyBorder="1"/>
    <xf numFmtId="172" fontId="23" fillId="4" borderId="16" xfId="2" applyNumberFormat="1" applyFont="1" applyFill="1" applyBorder="1"/>
    <xf numFmtId="0" fontId="27" fillId="4" borderId="0" xfId="2" applyFont="1" applyFill="1"/>
    <xf numFmtId="4" fontId="27" fillId="4" borderId="0" xfId="2" applyNumberFormat="1" applyFont="1" applyFill="1"/>
    <xf numFmtId="3" fontId="23" fillId="4" borderId="0" xfId="2" applyNumberFormat="1" applyFont="1" applyFill="1"/>
    <xf numFmtId="177" fontId="23" fillId="4" borderId="16" xfId="13" applyNumberFormat="1" applyFont="1" applyFill="1" applyBorder="1"/>
    <xf numFmtId="170" fontId="23" fillId="4" borderId="21" xfId="3" applyNumberFormat="1" applyFont="1" applyFill="1" applyBorder="1" applyAlignment="1">
      <alignment horizontal="center" vertical="center"/>
    </xf>
    <xf numFmtId="171" fontId="23" fillId="4" borderId="21" xfId="3" applyNumberFormat="1" applyFont="1" applyFill="1" applyBorder="1" applyAlignment="1">
      <alignment horizontal="center" vertical="center"/>
    </xf>
    <xf numFmtId="2" fontId="23" fillId="4" borderId="16" xfId="2" applyNumberFormat="1" applyFont="1" applyFill="1" applyBorder="1"/>
    <xf numFmtId="2" fontId="23" fillId="4" borderId="0" xfId="2" applyNumberFormat="1" applyFont="1" applyFill="1"/>
    <xf numFmtId="3" fontId="27" fillId="4" borderId="0" xfId="2" applyNumberFormat="1" applyFont="1" applyFill="1"/>
    <xf numFmtId="0" fontId="27" fillId="4" borderId="0" xfId="2" applyFont="1" applyFill="1" applyAlignment="1">
      <alignment horizontal="center"/>
    </xf>
    <xf numFmtId="0" fontId="23" fillId="4" borderId="16" xfId="2" applyFont="1" applyFill="1" applyBorder="1" applyAlignment="1">
      <alignment horizontal="center"/>
    </xf>
    <xf numFmtId="0" fontId="23" fillId="0" borderId="0" xfId="2" applyFont="1" applyAlignment="1">
      <alignment horizontal="left"/>
    </xf>
    <xf numFmtId="0" fontId="27" fillId="0" borderId="0" xfId="2" applyFont="1" applyAlignment="1">
      <alignment wrapText="1"/>
    </xf>
    <xf numFmtId="2" fontId="23" fillId="4" borderId="37" xfId="2" applyNumberFormat="1" applyFont="1" applyFill="1" applyBorder="1"/>
    <xf numFmtId="0" fontId="27" fillId="4" borderId="16" xfId="2" applyFont="1" applyFill="1" applyBorder="1"/>
    <xf numFmtId="0" fontId="23" fillId="4" borderId="16" xfId="2" quotePrefix="1" applyFont="1" applyFill="1" applyBorder="1" applyAlignment="1">
      <alignment horizontal="center"/>
    </xf>
    <xf numFmtId="2" fontId="23" fillId="4" borderId="16" xfId="2" applyNumberFormat="1" applyFont="1" applyFill="1" applyBorder="1" applyAlignment="1">
      <alignment horizontal="center"/>
    </xf>
    <xf numFmtId="2" fontId="23" fillId="4" borderId="16" xfId="8" applyNumberFormat="1" applyFont="1" applyFill="1" applyBorder="1" applyAlignment="1">
      <alignment horizontal="center"/>
    </xf>
    <xf numFmtId="2" fontId="23" fillId="4" borderId="16" xfId="8" applyNumberFormat="1" applyFont="1" applyFill="1" applyBorder="1"/>
    <xf numFmtId="0" fontId="23" fillId="4" borderId="16" xfId="8" quotePrefix="1" applyFont="1" applyFill="1" applyBorder="1" applyAlignment="1">
      <alignment horizontal="center"/>
    </xf>
    <xf numFmtId="0" fontId="23" fillId="4" borderId="0" xfId="2" applyFont="1" applyFill="1" applyAlignment="1">
      <alignment horizontal="right"/>
    </xf>
    <xf numFmtId="2" fontId="27" fillId="4" borderId="19" xfId="2" quotePrefix="1" applyNumberFormat="1" applyFont="1" applyFill="1" applyBorder="1" applyAlignment="1">
      <alignment horizontal="center"/>
    </xf>
    <xf numFmtId="2" fontId="27" fillId="4" borderId="16" xfId="2" applyNumberFormat="1" applyFont="1" applyFill="1" applyBorder="1"/>
    <xf numFmtId="2" fontId="27" fillId="4" borderId="16" xfId="2" applyNumberFormat="1" applyFont="1" applyFill="1" applyBorder="1" applyAlignment="1">
      <alignment horizontal="center"/>
    </xf>
    <xf numFmtId="175" fontId="27" fillId="4" borderId="0" xfId="2" applyNumberFormat="1" applyFont="1" applyFill="1"/>
    <xf numFmtId="0" fontId="23" fillId="4" borderId="0" xfId="0" applyFont="1" applyFill="1" applyAlignment="1">
      <alignment vertical="center"/>
    </xf>
    <xf numFmtId="0" fontId="27" fillId="4" borderId="0" xfId="0" applyFont="1" applyFill="1" applyAlignment="1">
      <alignment horizontal="left" vertical="center"/>
    </xf>
    <xf numFmtId="0" fontId="27" fillId="0" borderId="0" xfId="2" applyFont="1"/>
    <xf numFmtId="2" fontId="27" fillId="4" borderId="0" xfId="2" applyNumberFormat="1" applyFont="1" applyFill="1"/>
    <xf numFmtId="0" fontId="23" fillId="4" borderId="37" xfId="2" applyFont="1" applyFill="1" applyBorder="1"/>
    <xf numFmtId="4" fontId="23" fillId="4" borderId="37" xfId="2" applyNumberFormat="1" applyFont="1" applyFill="1" applyBorder="1"/>
    <xf numFmtId="4" fontId="23" fillId="4" borderId="22" xfId="2" applyNumberFormat="1" applyFont="1" applyFill="1" applyBorder="1"/>
    <xf numFmtId="0" fontId="23" fillId="4" borderId="47" xfId="2" applyFont="1" applyFill="1" applyBorder="1"/>
    <xf numFmtId="0" fontId="23" fillId="4" borderId="26" xfId="2" applyFont="1" applyFill="1" applyBorder="1"/>
    <xf numFmtId="3" fontId="27" fillId="4" borderId="47" xfId="2" applyNumberFormat="1" applyFont="1" applyFill="1" applyBorder="1"/>
    <xf numFmtId="3" fontId="23" fillId="4" borderId="47" xfId="2" applyNumberFormat="1" applyFont="1" applyFill="1" applyBorder="1"/>
    <xf numFmtId="3" fontId="23" fillId="4" borderId="21" xfId="2" applyNumberFormat="1" applyFont="1" applyFill="1" applyBorder="1"/>
    <xf numFmtId="0" fontId="3" fillId="0" borderId="0" xfId="0" applyFont="1"/>
    <xf numFmtId="0" fontId="28" fillId="0" borderId="0" xfId="0" applyFont="1"/>
    <xf numFmtId="168" fontId="3" fillId="0" borderId="0" xfId="13" applyFont="1" applyFill="1" applyAlignment="1" applyProtection="1"/>
    <xf numFmtId="4" fontId="10" fillId="0" borderId="49" xfId="0" applyNumberFormat="1" applyFont="1" applyBorder="1"/>
    <xf numFmtId="0" fontId="10" fillId="0" borderId="2" xfId="0" applyFont="1" applyBorder="1"/>
    <xf numFmtId="0" fontId="3" fillId="0" borderId="2" xfId="0" applyFont="1" applyBorder="1"/>
    <xf numFmtId="168" fontId="10" fillId="0" borderId="3" xfId="13" applyFont="1" applyFill="1" applyBorder="1" applyAlignment="1" applyProtection="1"/>
    <xf numFmtId="0" fontId="10" fillId="0" borderId="16" xfId="0" applyFont="1" applyBorder="1" applyAlignment="1">
      <alignment horizontal="center"/>
    </xf>
    <xf numFmtId="168" fontId="10" fillId="0" borderId="16" xfId="13" applyFont="1" applyFill="1" applyBorder="1" applyAlignment="1" applyProtection="1">
      <alignment horizontal="center"/>
    </xf>
    <xf numFmtId="4" fontId="3" fillId="0" borderId="16" xfId="0" applyNumberFormat="1" applyFont="1" applyBorder="1"/>
    <xf numFmtId="0" fontId="3" fillId="0" borderId="16" xfId="0" applyFont="1" applyBorder="1"/>
    <xf numFmtId="2" fontId="3" fillId="0" borderId="16" xfId="0" applyNumberFormat="1" applyFont="1" applyBorder="1"/>
    <xf numFmtId="168" fontId="3" fillId="0" borderId="16" xfId="13" applyFont="1" applyFill="1" applyBorder="1" applyAlignment="1" applyProtection="1">
      <alignment horizontal="right"/>
    </xf>
    <xf numFmtId="168" fontId="3" fillId="0" borderId="16" xfId="13" applyFont="1" applyFill="1" applyBorder="1" applyAlignment="1" applyProtection="1"/>
    <xf numFmtId="0" fontId="10" fillId="0" borderId="53" xfId="0" applyFont="1" applyBorder="1"/>
    <xf numFmtId="0" fontId="10" fillId="0" borderId="54" xfId="0" applyFont="1" applyBorder="1"/>
    <xf numFmtId="168" fontId="10" fillId="0" borderId="55" xfId="13" applyFont="1" applyFill="1" applyBorder="1" applyAlignment="1" applyProtection="1"/>
    <xf numFmtId="4" fontId="10" fillId="0" borderId="6" xfId="0" applyNumberFormat="1" applyFont="1" applyBorder="1"/>
    <xf numFmtId="0" fontId="10" fillId="0" borderId="49" xfId="0" applyFont="1" applyBorder="1" applyAlignment="1">
      <alignment horizontal="center"/>
    </xf>
    <xf numFmtId="4" fontId="3" fillId="0" borderId="4" xfId="0" applyNumberFormat="1" applyFont="1" applyBorder="1"/>
    <xf numFmtId="0" fontId="3" fillId="0" borderId="4" xfId="0" applyFont="1" applyBorder="1"/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0" fontId="25" fillId="0" borderId="16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31" fillId="0" borderId="0" xfId="16" applyFont="1"/>
    <xf numFmtId="14" fontId="25" fillId="0" borderId="16" xfId="16" applyNumberFormat="1" applyFont="1" applyBorder="1" applyAlignment="1">
      <alignment horizontal="center" vertical="center"/>
    </xf>
    <xf numFmtId="0" fontId="24" fillId="0" borderId="0" xfId="16" applyFont="1" applyAlignment="1">
      <alignment vertical="center"/>
    </xf>
    <xf numFmtId="0" fontId="25" fillId="0" borderId="0" xfId="16" applyFont="1" applyAlignment="1">
      <alignment vertical="center"/>
    </xf>
    <xf numFmtId="0" fontId="24" fillId="0" borderId="0" xfId="16" applyFont="1" applyAlignment="1">
      <alignment horizontal="center" wrapText="1"/>
    </xf>
    <xf numFmtId="0" fontId="25" fillId="0" borderId="16" xfId="16" applyFont="1" applyBorder="1" applyAlignment="1">
      <alignment vertical="center"/>
    </xf>
    <xf numFmtId="0" fontId="25" fillId="0" borderId="16" xfId="16" applyFont="1" applyBorder="1" applyAlignment="1">
      <alignment horizontal="left" vertical="center"/>
    </xf>
    <xf numFmtId="10" fontId="31" fillId="0" borderId="0" xfId="16" applyNumberFormat="1" applyFont="1"/>
    <xf numFmtId="0" fontId="24" fillId="0" borderId="16" xfId="16" applyFont="1" applyBorder="1" applyAlignment="1">
      <alignment vertical="center"/>
    </xf>
    <xf numFmtId="44" fontId="24" fillId="0" borderId="16" xfId="17" applyFont="1" applyBorder="1" applyAlignment="1">
      <alignment vertical="center"/>
    </xf>
    <xf numFmtId="0" fontId="25" fillId="0" borderId="16" xfId="16" applyFont="1" applyBorder="1" applyAlignment="1">
      <alignment horizontal="center" vertical="center" wrapText="1"/>
    </xf>
    <xf numFmtId="0" fontId="24" fillId="0" borderId="16" xfId="16" applyFont="1" applyBorder="1"/>
    <xf numFmtId="178" fontId="24" fillId="0" borderId="16" xfId="18" applyNumberFormat="1" applyFont="1" applyBorder="1"/>
    <xf numFmtId="9" fontId="24" fillId="0" borderId="16" xfId="16" applyNumberFormat="1" applyFont="1" applyBorder="1" applyAlignment="1">
      <alignment horizontal="center"/>
    </xf>
    <xf numFmtId="0" fontId="24" fillId="0" borderId="16" xfId="16" applyFont="1" applyBorder="1" applyAlignment="1">
      <alignment horizontal="center"/>
    </xf>
    <xf numFmtId="179" fontId="24" fillId="0" borderId="16" xfId="16" applyNumberFormat="1" applyFont="1" applyBorder="1"/>
    <xf numFmtId="0" fontId="25" fillId="0" borderId="16" xfId="16" applyFont="1" applyBorder="1" applyAlignment="1">
      <alignment vertical="center" wrapText="1"/>
    </xf>
    <xf numFmtId="10" fontId="24" fillId="0" borderId="16" xfId="16" applyNumberFormat="1" applyFont="1" applyBorder="1" applyAlignment="1">
      <alignment vertical="center" wrapText="1"/>
    </xf>
    <xf numFmtId="181" fontId="31" fillId="0" borderId="0" xfId="16" applyNumberFormat="1" applyFont="1"/>
    <xf numFmtId="0" fontId="25" fillId="0" borderId="0" xfId="16" applyFont="1" applyAlignment="1">
      <alignment horizontal="right"/>
    </xf>
    <xf numFmtId="182" fontId="25" fillId="0" borderId="0" xfId="17" applyNumberFormat="1" applyFont="1" applyFill="1" applyBorder="1" applyAlignment="1"/>
    <xf numFmtId="183" fontId="25" fillId="0" borderId="0" xfId="16" applyNumberFormat="1" applyFont="1"/>
    <xf numFmtId="9" fontId="25" fillId="7" borderId="16" xfId="16" applyNumberFormat="1" applyFont="1" applyFill="1" applyBorder="1" applyAlignment="1">
      <alignment horizontal="center"/>
    </xf>
    <xf numFmtId="179" fontId="25" fillId="0" borderId="0" xfId="16" applyNumberFormat="1" applyFont="1" applyAlignment="1">
      <alignment horizontal="center"/>
    </xf>
    <xf numFmtId="9" fontId="25" fillId="0" borderId="0" xfId="16" applyNumberFormat="1" applyFont="1" applyAlignment="1">
      <alignment horizontal="center"/>
    </xf>
    <xf numFmtId="9" fontId="24" fillId="0" borderId="16" xfId="20" applyFont="1" applyBorder="1" applyAlignment="1">
      <alignment horizontal="center"/>
    </xf>
    <xf numFmtId="0" fontId="24" fillId="0" borderId="0" xfId="16" applyFont="1"/>
    <xf numFmtId="0" fontId="24" fillId="0" borderId="21" xfId="16" applyFont="1" applyBorder="1"/>
    <xf numFmtId="0" fontId="25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14" fontId="25" fillId="0" borderId="16" xfId="0" applyNumberFormat="1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vertical="center" wrapText="1"/>
    </xf>
    <xf numFmtId="0" fontId="25" fillId="0" borderId="30" xfId="0" applyFont="1" applyBorder="1" applyAlignment="1">
      <alignment wrapText="1"/>
    </xf>
    <xf numFmtId="4" fontId="25" fillId="0" borderId="20" xfId="0" applyNumberFormat="1" applyFont="1" applyBorder="1" applyAlignment="1">
      <alignment vertical="center"/>
    </xf>
    <xf numFmtId="4" fontId="25" fillId="0" borderId="26" xfId="0" applyNumberFormat="1" applyFont="1" applyBorder="1" applyAlignment="1">
      <alignment vertical="center"/>
    </xf>
    <xf numFmtId="4" fontId="25" fillId="0" borderId="30" xfId="0" applyNumberFormat="1" applyFont="1" applyBorder="1" applyAlignment="1">
      <alignment vertical="center"/>
    </xf>
    <xf numFmtId="4" fontId="25" fillId="0" borderId="16" xfId="0" applyNumberFormat="1" applyFont="1" applyBorder="1" applyAlignment="1">
      <alignment vertical="center"/>
    </xf>
    <xf numFmtId="10" fontId="24" fillId="0" borderId="16" xfId="16" applyNumberFormat="1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168" fontId="10" fillId="0" borderId="0" xfId="13" applyFont="1" applyFill="1" applyBorder="1" applyAlignment="1" applyProtection="1"/>
    <xf numFmtId="9" fontId="20" fillId="4" borderId="16" xfId="0" applyNumberFormat="1" applyFont="1" applyFill="1" applyBorder="1" applyAlignment="1">
      <alignment horizontal="right" vertical="center"/>
    </xf>
    <xf numFmtId="171" fontId="20" fillId="4" borderId="0" xfId="3" applyNumberFormat="1" applyFont="1" applyFill="1" applyBorder="1" applyAlignment="1">
      <alignment horizontal="center"/>
    </xf>
    <xf numFmtId="0" fontId="20" fillId="0" borderId="12" xfId="0" applyFont="1" applyBorder="1" applyAlignment="1">
      <alignment wrapText="1"/>
    </xf>
    <xf numFmtId="0" fontId="20" fillId="0" borderId="13" xfId="0" applyFont="1" applyBorder="1" applyAlignment="1">
      <alignment wrapText="1"/>
    </xf>
    <xf numFmtId="0" fontId="20" fillId="0" borderId="13" xfId="0" applyFont="1" applyBorder="1"/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81" fontId="19" fillId="0" borderId="16" xfId="10" applyNumberFormat="1" applyFont="1" applyFill="1" applyBorder="1"/>
    <xf numFmtId="181" fontId="20" fillId="0" borderId="16" xfId="13" applyNumberFormat="1" applyFont="1" applyFill="1" applyBorder="1"/>
    <xf numFmtId="181" fontId="19" fillId="0" borderId="16" xfId="21" applyNumberFormat="1" applyFont="1" applyFill="1" applyBorder="1"/>
    <xf numFmtId="0" fontId="20" fillId="0" borderId="0" xfId="0" applyFont="1"/>
    <xf numFmtId="0" fontId="20" fillId="0" borderId="0" xfId="0" applyFont="1" applyAlignment="1">
      <alignment horizontal="center"/>
    </xf>
    <xf numFmtId="168" fontId="19" fillId="0" borderId="0" xfId="13" applyFont="1" applyFill="1"/>
    <xf numFmtId="9" fontId="19" fillId="0" borderId="0" xfId="10" applyFont="1" applyFill="1"/>
    <xf numFmtId="165" fontId="20" fillId="0" borderId="0" xfId="0" applyNumberFormat="1" applyFont="1"/>
    <xf numFmtId="0" fontId="20" fillId="0" borderId="21" xfId="0" applyFont="1" applyBorder="1"/>
    <xf numFmtId="0" fontId="19" fillId="0" borderId="0" xfId="0" applyFont="1"/>
    <xf numFmtId="0" fontId="19" fillId="0" borderId="0" xfId="5" applyFont="1"/>
    <xf numFmtId="0" fontId="20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Protection="1">
      <protection locked="0"/>
    </xf>
    <xf numFmtId="0" fontId="20" fillId="0" borderId="16" xfId="0" applyFont="1" applyBorder="1" applyAlignment="1">
      <alignment horizontal="center"/>
    </xf>
    <xf numFmtId="168" fontId="20" fillId="0" borderId="16" xfId="13" applyFont="1" applyFill="1" applyBorder="1" applyAlignment="1">
      <alignment horizontal="center"/>
    </xf>
    <xf numFmtId="10" fontId="20" fillId="0" borderId="30" xfId="1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/>
    </xf>
    <xf numFmtId="168" fontId="20" fillId="0" borderId="19" xfId="13" applyFont="1" applyFill="1" applyBorder="1" applyAlignment="1">
      <alignment horizontal="center"/>
    </xf>
    <xf numFmtId="178" fontId="20" fillId="0" borderId="16" xfId="14" applyNumberFormat="1" applyFont="1" applyFill="1" applyBorder="1"/>
    <xf numFmtId="178" fontId="20" fillId="0" borderId="19" xfId="14" applyNumberFormat="1" applyFont="1" applyFill="1" applyBorder="1"/>
    <xf numFmtId="176" fontId="27" fillId="8" borderId="34" xfId="2" applyNumberFormat="1" applyFont="1" applyFill="1" applyBorder="1"/>
    <xf numFmtId="0" fontId="27" fillId="8" borderId="23" xfId="2" applyFont="1" applyFill="1" applyBorder="1"/>
    <xf numFmtId="168" fontId="10" fillId="0" borderId="17" xfId="13" applyFont="1" applyFill="1" applyBorder="1" applyAlignment="1" applyProtection="1">
      <alignment horizontal="center"/>
    </xf>
    <xf numFmtId="168" fontId="3" fillId="0" borderId="17" xfId="13" applyFont="1" applyFill="1" applyBorder="1" applyAlignment="1" applyProtection="1"/>
    <xf numFmtId="4" fontId="3" fillId="0" borderId="16" xfId="0" applyNumberFormat="1" applyFont="1" applyBorder="1" applyAlignment="1">
      <alignment wrapText="1"/>
    </xf>
    <xf numFmtId="171" fontId="33" fillId="0" borderId="0" xfId="3" applyNumberFormat="1" applyFont="1" applyFill="1" applyAlignment="1">
      <alignment horizontal="center" vertical="center"/>
    </xf>
    <xf numFmtId="0" fontId="19" fillId="8" borderId="15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20" fillId="8" borderId="19" xfId="0" applyFont="1" applyFill="1" applyBorder="1" applyAlignment="1">
      <alignment horizontal="center"/>
    </xf>
    <xf numFmtId="168" fontId="20" fillId="8" borderId="19" xfId="13" applyFont="1" applyFill="1" applyBorder="1" applyAlignment="1">
      <alignment horizontal="center"/>
    </xf>
    <xf numFmtId="178" fontId="20" fillId="8" borderId="19" xfId="14" applyNumberFormat="1" applyFont="1" applyFill="1" applyBorder="1"/>
    <xf numFmtId="10" fontId="20" fillId="8" borderId="30" xfId="10" applyNumberFormat="1" applyFont="1" applyFill="1" applyBorder="1" applyAlignment="1">
      <alignment horizontal="right" vertical="center"/>
    </xf>
    <xf numFmtId="178" fontId="31" fillId="0" borderId="0" xfId="14" applyNumberFormat="1" applyFont="1"/>
    <xf numFmtId="178" fontId="31" fillId="0" borderId="0" xfId="16" applyNumberFormat="1" applyFont="1"/>
    <xf numFmtId="0" fontId="23" fillId="4" borderId="16" xfId="2" applyFont="1" applyFill="1" applyBorder="1" applyAlignment="1">
      <alignment horizontal="center" vertical="center" wrapText="1"/>
    </xf>
    <xf numFmtId="2" fontId="23" fillId="4" borderId="16" xfId="2" applyNumberFormat="1" applyFont="1" applyFill="1" applyBorder="1" applyAlignment="1">
      <alignment horizontal="center" vertical="center" wrapText="1"/>
    </xf>
    <xf numFmtId="4" fontId="23" fillId="4" borderId="16" xfId="2" applyNumberFormat="1" applyFont="1" applyFill="1" applyBorder="1" applyAlignment="1">
      <alignment horizontal="center" vertical="center" wrapText="1"/>
    </xf>
    <xf numFmtId="165" fontId="23" fillId="4" borderId="16" xfId="14" applyFont="1" applyFill="1" applyBorder="1" applyAlignment="1">
      <alignment horizontal="center" vertical="center" wrapText="1"/>
    </xf>
    <xf numFmtId="165" fontId="23" fillId="4" borderId="16" xfId="14" applyFont="1" applyFill="1" applyBorder="1"/>
    <xf numFmtId="165" fontId="23" fillId="4" borderId="37" xfId="14" applyFont="1" applyFill="1" applyBorder="1"/>
    <xf numFmtId="0" fontId="20" fillId="8" borderId="18" xfId="0" applyFont="1" applyFill="1" applyBorder="1" applyAlignment="1">
      <alignment horizontal="center"/>
    </xf>
    <xf numFmtId="0" fontId="20" fillId="0" borderId="18" xfId="0" applyFont="1" applyBorder="1" applyAlignment="1">
      <alignment horizontal="center"/>
    </xf>
    <xf numFmtId="9" fontId="19" fillId="0" borderId="51" xfId="21" applyFont="1" applyFill="1" applyBorder="1"/>
    <xf numFmtId="4" fontId="20" fillId="0" borderId="4" xfId="0" applyNumberFormat="1" applyFont="1" applyBorder="1" applyAlignment="1">
      <alignment horizontal="center" vertical="center" wrapText="1"/>
    </xf>
    <xf numFmtId="0" fontId="10" fillId="0" borderId="16" xfId="0" applyFont="1" applyBorder="1"/>
    <xf numFmtId="168" fontId="10" fillId="0" borderId="16" xfId="13" applyFont="1" applyFill="1" applyBorder="1" applyAlignment="1" applyProtection="1"/>
    <xf numFmtId="4" fontId="20" fillId="0" borderId="0" xfId="0" applyNumberFormat="1" applyFont="1" applyAlignment="1">
      <alignment vertical="center" wrapText="1"/>
    </xf>
    <xf numFmtId="182" fontId="20" fillId="0" borderId="0" xfId="0" applyNumberFormat="1" applyFont="1" applyAlignment="1">
      <alignment horizontal="center"/>
    </xf>
    <xf numFmtId="182" fontId="25" fillId="0" borderId="0" xfId="0" applyNumberFormat="1" applyFont="1"/>
    <xf numFmtId="165" fontId="25" fillId="0" borderId="0" xfId="14" applyFont="1" applyBorder="1"/>
    <xf numFmtId="0" fontId="20" fillId="0" borderId="0" xfId="0" applyFont="1" applyAlignment="1">
      <alignment horizontal="center" vertical="center" wrapText="1"/>
    </xf>
    <xf numFmtId="170" fontId="20" fillId="0" borderId="16" xfId="3" applyNumberFormat="1" applyFont="1" applyFill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14" fontId="37" fillId="0" borderId="16" xfId="0" applyNumberFormat="1" applyFont="1" applyBorder="1" applyAlignment="1">
      <alignment horizontal="center" vertical="center"/>
    </xf>
    <xf numFmtId="0" fontId="36" fillId="0" borderId="0" xfId="0" applyFont="1"/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27" fillId="4" borderId="19" xfId="2" applyFont="1" applyFill="1" applyBorder="1" applyAlignment="1">
      <alignment horizontal="center"/>
    </xf>
    <xf numFmtId="0" fontId="23" fillId="4" borderId="19" xfId="2" applyFont="1" applyFill="1" applyBorder="1"/>
    <xf numFmtId="0" fontId="23" fillId="4" borderId="19" xfId="2" applyFont="1" applyFill="1" applyBorder="1" applyAlignment="1">
      <alignment horizontal="center" vertical="center"/>
    </xf>
    <xf numFmtId="4" fontId="23" fillId="4" borderId="19" xfId="2" applyNumberFormat="1" applyFont="1" applyFill="1" applyBorder="1" applyAlignment="1">
      <alignment vertical="center"/>
    </xf>
    <xf numFmtId="0" fontId="23" fillId="4" borderId="16" xfId="2" applyFont="1" applyFill="1" applyBorder="1" applyAlignment="1">
      <alignment horizontal="center" vertical="center"/>
    </xf>
    <xf numFmtId="4" fontId="23" fillId="4" borderId="16" xfId="2" applyNumberFormat="1" applyFont="1" applyFill="1" applyBorder="1" applyAlignment="1">
      <alignment vertical="center"/>
    </xf>
    <xf numFmtId="184" fontId="23" fillId="4" borderId="37" xfId="22" applyNumberFormat="1" applyFont="1" applyFill="1" applyBorder="1"/>
    <xf numFmtId="2" fontId="23" fillId="0" borderId="30" xfId="2" applyNumberFormat="1" applyFont="1" applyBorder="1"/>
    <xf numFmtId="3" fontId="23" fillId="0" borderId="16" xfId="2" applyNumberFormat="1" applyFont="1" applyBorder="1"/>
    <xf numFmtId="4" fontId="23" fillId="0" borderId="16" xfId="2" applyNumberFormat="1" applyFont="1" applyBorder="1"/>
    <xf numFmtId="0" fontId="23" fillId="0" borderId="16" xfId="2" applyFont="1" applyBorder="1"/>
    <xf numFmtId="164" fontId="23" fillId="4" borderId="37" xfId="22" applyNumberFormat="1" applyFont="1" applyFill="1" applyBorder="1"/>
    <xf numFmtId="42" fontId="23" fillId="4" borderId="16" xfId="22" applyFont="1" applyFill="1" applyBorder="1" applyAlignment="1">
      <alignment horizontal="center"/>
    </xf>
    <xf numFmtId="185" fontId="23" fillId="4" borderId="16" xfId="2" applyNumberFormat="1" applyFont="1" applyFill="1" applyBorder="1" applyAlignment="1">
      <alignment horizontal="center"/>
    </xf>
    <xf numFmtId="179" fontId="23" fillId="4" borderId="16" xfId="23" applyNumberFormat="1" applyFont="1" applyFill="1" applyBorder="1"/>
    <xf numFmtId="177" fontId="23" fillId="4" borderId="37" xfId="23" applyNumberFormat="1" applyFont="1" applyFill="1" applyBorder="1"/>
    <xf numFmtId="4" fontId="23" fillId="4" borderId="16" xfId="22" applyNumberFormat="1" applyFont="1" applyFill="1" applyBorder="1"/>
    <xf numFmtId="164" fontId="23" fillId="4" borderId="16" xfId="22" applyNumberFormat="1" applyFont="1" applyFill="1" applyBorder="1"/>
    <xf numFmtId="4" fontId="27" fillId="4" borderId="25" xfId="2" applyNumberFormat="1" applyFont="1" applyFill="1" applyBorder="1"/>
    <xf numFmtId="180" fontId="23" fillId="0" borderId="16" xfId="24" applyNumberFormat="1" applyFont="1" applyBorder="1"/>
    <xf numFmtId="170" fontId="23" fillId="4" borderId="21" xfId="25" applyNumberFormat="1" applyFont="1" applyFill="1" applyBorder="1" applyAlignment="1">
      <alignment horizontal="center" vertical="center"/>
    </xf>
    <xf numFmtId="0" fontId="36" fillId="0" borderId="47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3" fillId="4" borderId="0" xfId="2" applyFont="1" applyFill="1" applyAlignment="1">
      <alignment vertical="center"/>
    </xf>
    <xf numFmtId="0" fontId="23" fillId="4" borderId="37" xfId="2" applyFont="1" applyFill="1" applyBorder="1" applyAlignment="1">
      <alignment vertical="center"/>
    </xf>
    <xf numFmtId="177" fontId="23" fillId="4" borderId="0" xfId="23" applyNumberFormat="1" applyFont="1" applyFill="1" applyBorder="1"/>
    <xf numFmtId="3" fontId="23" fillId="4" borderId="25" xfId="2" applyNumberFormat="1" applyFont="1" applyFill="1" applyBorder="1"/>
    <xf numFmtId="2" fontId="23" fillId="4" borderId="16" xfId="2" applyNumberFormat="1" applyFont="1" applyFill="1" applyBorder="1" applyAlignment="1">
      <alignment horizontal="center" vertical="center"/>
    </xf>
    <xf numFmtId="4" fontId="23" fillId="4" borderId="16" xfId="2" applyNumberFormat="1" applyFont="1" applyFill="1" applyBorder="1" applyAlignment="1">
      <alignment horizontal="center" vertical="center"/>
    </xf>
    <xf numFmtId="44" fontId="23" fillId="4" borderId="16" xfId="24" applyFont="1" applyFill="1" applyBorder="1" applyAlignment="1">
      <alignment vertical="center"/>
    </xf>
    <xf numFmtId="44" fontId="23" fillId="4" borderId="16" xfId="24" applyFont="1" applyFill="1" applyBorder="1" applyAlignment="1">
      <alignment horizontal="center"/>
    </xf>
    <xf numFmtId="44" fontId="23" fillId="4" borderId="16" xfId="24" applyFont="1" applyFill="1" applyBorder="1"/>
    <xf numFmtId="0" fontId="36" fillId="0" borderId="16" xfId="0" applyFont="1" applyBorder="1" applyAlignment="1">
      <alignment horizontal="center" vertical="center" wrapText="1"/>
    </xf>
    <xf numFmtId="176" fontId="23" fillId="4" borderId="16" xfId="2" applyNumberFormat="1" applyFont="1" applyFill="1" applyBorder="1"/>
    <xf numFmtId="44" fontId="23" fillId="4" borderId="31" xfId="24" applyFont="1" applyFill="1" applyBorder="1"/>
    <xf numFmtId="185" fontId="23" fillId="4" borderId="16" xfId="2" applyNumberFormat="1" applyFont="1" applyFill="1" applyBorder="1"/>
    <xf numFmtId="0" fontId="23" fillId="4" borderId="16" xfId="2" applyFont="1" applyFill="1" applyBorder="1" applyAlignment="1">
      <alignment vertical="center" wrapText="1"/>
    </xf>
    <xf numFmtId="2" fontId="19" fillId="0" borderId="0" xfId="0" applyNumberFormat="1" applyFont="1" applyAlignment="1">
      <alignment horizontal="center" vertical="center" wrapText="1"/>
    </xf>
    <xf numFmtId="2" fontId="19" fillId="8" borderId="16" xfId="0" applyNumberFormat="1" applyFont="1" applyFill="1" applyBorder="1" applyAlignment="1">
      <alignment horizontal="center" vertical="center" wrapText="1"/>
    </xf>
    <xf numFmtId="165" fontId="20" fillId="0" borderId="16" xfId="14" applyFont="1" applyBorder="1" applyAlignment="1">
      <alignment horizontal="center"/>
    </xf>
    <xf numFmtId="165" fontId="31" fillId="0" borderId="0" xfId="14" applyFont="1"/>
    <xf numFmtId="186" fontId="25" fillId="7" borderId="16" xfId="17" applyNumberFormat="1" applyFont="1" applyFill="1" applyBorder="1" applyAlignment="1">
      <alignment horizontal="left"/>
    </xf>
    <xf numFmtId="177" fontId="24" fillId="0" borderId="16" xfId="16" applyNumberFormat="1" applyFont="1" applyBorder="1"/>
    <xf numFmtId="177" fontId="25" fillId="0" borderId="16" xfId="16" applyNumberFormat="1" applyFont="1" applyBorder="1" applyAlignment="1">
      <alignment vertical="center" wrapText="1"/>
    </xf>
    <xf numFmtId="177" fontId="24" fillId="0" borderId="16" xfId="17" applyNumberFormat="1" applyFont="1" applyBorder="1" applyAlignment="1">
      <alignment vertical="center" wrapText="1"/>
    </xf>
    <xf numFmtId="177" fontId="24" fillId="0" borderId="16" xfId="19" applyNumberFormat="1" applyFont="1" applyBorder="1" applyAlignment="1">
      <alignment vertical="center"/>
    </xf>
    <xf numFmtId="165" fontId="19" fillId="0" borderId="16" xfId="0" applyNumberFormat="1" applyFont="1" applyBorder="1" applyAlignment="1">
      <alignment horizontal="center"/>
    </xf>
    <xf numFmtId="165" fontId="20" fillId="0" borderId="16" xfId="14" applyFont="1" applyFill="1" applyBorder="1"/>
    <xf numFmtId="165" fontId="19" fillId="8" borderId="16" xfId="0" applyNumberFormat="1" applyFont="1" applyFill="1" applyBorder="1" applyAlignment="1">
      <alignment horizontal="center"/>
    </xf>
    <xf numFmtId="165" fontId="20" fillId="8" borderId="16" xfId="14" applyFont="1" applyFill="1" applyBorder="1"/>
    <xf numFmtId="165" fontId="19" fillId="0" borderId="16" xfId="0" applyNumberFormat="1" applyFont="1" applyBorder="1"/>
    <xf numFmtId="165" fontId="24" fillId="0" borderId="16" xfId="0" applyNumberFormat="1" applyFont="1" applyBorder="1"/>
    <xf numFmtId="165" fontId="19" fillId="0" borderId="51" xfId="0" applyNumberFormat="1" applyFont="1" applyBorder="1" applyAlignment="1">
      <alignment horizontal="center"/>
    </xf>
    <xf numFmtId="165" fontId="27" fillId="4" borderId="37" xfId="14" applyFont="1" applyFill="1" applyBorder="1" applyAlignment="1">
      <alignment horizontal="center" vertical="center" wrapText="1"/>
    </xf>
    <xf numFmtId="165" fontId="27" fillId="8" borderId="35" xfId="14" applyFont="1" applyFill="1" applyBorder="1"/>
    <xf numFmtId="165" fontId="23" fillId="4" borderId="22" xfId="14" applyFont="1" applyFill="1" applyBorder="1"/>
    <xf numFmtId="165" fontId="23" fillId="4" borderId="0" xfId="14" applyFont="1" applyFill="1"/>
    <xf numFmtId="4" fontId="27" fillId="4" borderId="37" xfId="2" applyNumberFormat="1" applyFont="1" applyFill="1" applyBorder="1" applyAlignment="1">
      <alignment horizontal="center" vertical="center" wrapText="1"/>
    </xf>
    <xf numFmtId="176" fontId="19" fillId="8" borderId="16" xfId="0" applyNumberFormat="1" applyFont="1" applyFill="1" applyBorder="1" applyAlignment="1">
      <alignment horizontal="center" vertical="center"/>
    </xf>
    <xf numFmtId="4" fontId="10" fillId="0" borderId="6" xfId="0" applyNumberFormat="1" applyFont="1" applyBorder="1" applyAlignment="1">
      <alignment horizontal="left" wrapText="1"/>
    </xf>
    <xf numFmtId="4" fontId="10" fillId="0" borderId="6" xfId="0" applyNumberFormat="1" applyFont="1" applyBorder="1" applyAlignment="1">
      <alignment wrapText="1"/>
    </xf>
    <xf numFmtId="4" fontId="10" fillId="0" borderId="16" xfId="0" applyNumberFormat="1" applyFont="1" applyBorder="1" applyAlignment="1">
      <alignment wrapText="1"/>
    </xf>
    <xf numFmtId="0" fontId="27" fillId="8" borderId="35" xfId="2" applyFont="1" applyFill="1" applyBorder="1"/>
    <xf numFmtId="177" fontId="23" fillId="4" borderId="37" xfId="13" applyNumberFormat="1" applyFont="1" applyFill="1" applyBorder="1"/>
    <xf numFmtId="1" fontId="23" fillId="4" borderId="37" xfId="2" applyNumberFormat="1" applyFont="1" applyFill="1" applyBorder="1"/>
    <xf numFmtId="3" fontId="23" fillId="4" borderId="37" xfId="2" applyNumberFormat="1" applyFont="1" applyFill="1" applyBorder="1"/>
    <xf numFmtId="3" fontId="23" fillId="4" borderId="22" xfId="2" applyNumberFormat="1" applyFont="1" applyFill="1" applyBorder="1"/>
    <xf numFmtId="165" fontId="23" fillId="4" borderId="16" xfId="14" applyFont="1" applyFill="1" applyBorder="1" applyAlignment="1">
      <alignment horizontal="center"/>
    </xf>
    <xf numFmtId="186" fontId="19" fillId="0" borderId="16" xfId="10" applyNumberFormat="1" applyFont="1" applyFill="1" applyBorder="1" applyAlignment="1">
      <alignment horizontal="center"/>
    </xf>
    <xf numFmtId="186" fontId="19" fillId="0" borderId="17" xfId="10" applyNumberFormat="1" applyFont="1" applyFill="1" applyBorder="1" applyAlignment="1">
      <alignment horizontal="center"/>
    </xf>
    <xf numFmtId="186" fontId="20" fillId="0" borderId="0" xfId="0" applyNumberFormat="1" applyFont="1" applyAlignment="1">
      <alignment horizontal="center" vertical="center" wrapText="1"/>
    </xf>
    <xf numFmtId="186" fontId="24" fillId="0" borderId="5" xfId="0" applyNumberFormat="1" applyFont="1" applyBorder="1"/>
    <xf numFmtId="186" fontId="24" fillId="0" borderId="0" xfId="0" applyNumberFormat="1" applyFont="1"/>
    <xf numFmtId="186" fontId="19" fillId="0" borderId="20" xfId="0" applyNumberFormat="1" applyFont="1" applyBorder="1" applyAlignment="1">
      <alignment horizontal="center"/>
    </xf>
    <xf numFmtId="186" fontId="19" fillId="0" borderId="59" xfId="0" applyNumberFormat="1" applyFont="1" applyBorder="1" applyAlignment="1">
      <alignment horizontal="center"/>
    </xf>
    <xf numFmtId="186" fontId="20" fillId="0" borderId="30" xfId="0" applyNumberFormat="1" applyFont="1" applyBorder="1"/>
    <xf numFmtId="186" fontId="20" fillId="8" borderId="30" xfId="0" applyNumberFormat="1" applyFont="1" applyFill="1" applyBorder="1"/>
    <xf numFmtId="186" fontId="20" fillId="0" borderId="30" xfId="0" applyNumberFormat="1" applyFont="1" applyBorder="1" applyAlignment="1">
      <alignment horizontal="center"/>
    </xf>
    <xf numFmtId="186" fontId="20" fillId="0" borderId="26" xfId="0" applyNumberFormat="1" applyFont="1" applyBorder="1" applyAlignment="1">
      <alignment horizontal="center"/>
    </xf>
    <xf numFmtId="186" fontId="20" fillId="8" borderId="26" xfId="0" applyNumberFormat="1" applyFont="1" applyFill="1" applyBorder="1" applyAlignment="1">
      <alignment horizontal="center"/>
    </xf>
    <xf numFmtId="186" fontId="19" fillId="0" borderId="51" xfId="13" applyNumberFormat="1" applyFont="1" applyFill="1" applyBorder="1" applyAlignment="1">
      <alignment horizontal="right"/>
    </xf>
    <xf numFmtId="186" fontId="19" fillId="0" borderId="52" xfId="13" applyNumberFormat="1" applyFont="1" applyFill="1" applyBorder="1" applyAlignment="1">
      <alignment horizontal="right"/>
    </xf>
    <xf numFmtId="186" fontId="20" fillId="0" borderId="0" xfId="0" applyNumberFormat="1" applyFont="1"/>
    <xf numFmtId="170" fontId="25" fillId="0" borderId="16" xfId="0" applyNumberFormat="1" applyFont="1" applyBorder="1" applyAlignment="1">
      <alignment horizontal="center" vertical="center"/>
    </xf>
    <xf numFmtId="170" fontId="24" fillId="0" borderId="0" xfId="0" applyNumberFormat="1" applyFont="1" applyAlignment="1">
      <alignment horizontal="center"/>
    </xf>
    <xf numFmtId="170" fontId="25" fillId="0" borderId="0" xfId="0" applyNumberFormat="1" applyFont="1"/>
    <xf numFmtId="170" fontId="25" fillId="0" borderId="0" xfId="0" applyNumberFormat="1" applyFont="1" applyAlignment="1">
      <alignment horizontal="center"/>
    </xf>
    <xf numFmtId="170" fontId="20" fillId="4" borderId="16" xfId="14" applyNumberFormat="1" applyFont="1" applyFill="1" applyBorder="1" applyAlignment="1">
      <alignment horizontal="center" vertical="center"/>
    </xf>
    <xf numFmtId="170" fontId="19" fillId="4" borderId="16" xfId="14" applyNumberFormat="1" applyFont="1" applyFill="1" applyBorder="1" applyAlignment="1">
      <alignment horizontal="center" vertical="center"/>
    </xf>
    <xf numFmtId="170" fontId="19" fillId="4" borderId="0" xfId="0" applyNumberFormat="1" applyFont="1" applyFill="1" applyAlignment="1">
      <alignment horizontal="center" vertical="center" wrapText="1"/>
    </xf>
    <xf numFmtId="9" fontId="20" fillId="4" borderId="16" xfId="21" applyFont="1" applyFill="1" applyBorder="1" applyAlignment="1">
      <alignment vertical="center"/>
    </xf>
    <xf numFmtId="170" fontId="20" fillId="0" borderId="16" xfId="14" applyNumberFormat="1" applyFont="1" applyFill="1" applyBorder="1" applyAlignment="1">
      <alignment horizontal="center" vertical="center"/>
    </xf>
    <xf numFmtId="165" fontId="36" fillId="0" borderId="0" xfId="14" applyFont="1"/>
    <xf numFmtId="44" fontId="36" fillId="0" borderId="0" xfId="0" applyNumberFormat="1" applyFont="1"/>
    <xf numFmtId="0" fontId="41" fillId="0" borderId="0" xfId="0" applyFont="1"/>
    <xf numFmtId="14" fontId="37" fillId="0" borderId="19" xfId="0" applyNumberFormat="1" applyFont="1" applyBorder="1" applyAlignment="1">
      <alignment horizontal="center" vertical="center"/>
    </xf>
    <xf numFmtId="0" fontId="44" fillId="4" borderId="16" xfId="2" applyFont="1" applyFill="1" applyBorder="1" applyAlignment="1">
      <alignment horizontal="center"/>
    </xf>
    <xf numFmtId="0" fontId="44" fillId="4" borderId="16" xfId="2" applyFont="1" applyFill="1" applyBorder="1"/>
    <xf numFmtId="4" fontId="20" fillId="0" borderId="30" xfId="0" applyNumberFormat="1" applyFont="1" applyBorder="1" applyAlignment="1">
      <alignment horizontal="left"/>
    </xf>
    <xf numFmtId="4" fontId="20" fillId="0" borderId="31" xfId="0" applyNumberFormat="1" applyFont="1" applyBorder="1" applyAlignment="1">
      <alignment horizontal="left"/>
    </xf>
    <xf numFmtId="0" fontId="19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43" fontId="3" fillId="0" borderId="16" xfId="0" applyNumberFormat="1" applyFont="1" applyBorder="1"/>
    <xf numFmtId="0" fontId="25" fillId="0" borderId="16" xfId="0" applyFont="1" applyBorder="1" applyAlignment="1">
      <alignment horizontal="center" vertical="center" wrapText="1"/>
    </xf>
    <xf numFmtId="0" fontId="23" fillId="4" borderId="16" xfId="2" applyFont="1" applyFill="1" applyBorder="1" applyAlignment="1">
      <alignment horizontal="right" vertical="center" wrapText="1"/>
    </xf>
    <xf numFmtId="4" fontId="3" fillId="0" borderId="0" xfId="0" applyNumberFormat="1" applyFont="1"/>
    <xf numFmtId="175" fontId="23" fillId="4" borderId="16" xfId="2" applyNumberFormat="1" applyFont="1" applyFill="1" applyBorder="1" applyAlignment="1">
      <alignment horizontal="center"/>
    </xf>
    <xf numFmtId="168" fontId="10" fillId="0" borderId="19" xfId="13" applyFont="1" applyFill="1" applyBorder="1" applyAlignment="1" applyProtection="1"/>
    <xf numFmtId="172" fontId="23" fillId="4" borderId="16" xfId="2" applyNumberFormat="1" applyFont="1" applyFill="1" applyBorder="1" applyAlignment="1">
      <alignment horizontal="center"/>
    </xf>
    <xf numFmtId="176" fontId="27" fillId="8" borderId="34" xfId="2" applyNumberFormat="1" applyFont="1" applyFill="1" applyBorder="1" applyAlignment="1">
      <alignment horizontal="center" vertical="center"/>
    </xf>
    <xf numFmtId="0" fontId="27" fillId="8" borderId="23" xfId="2" applyFont="1" applyFill="1" applyBorder="1" applyAlignment="1">
      <alignment horizontal="center" vertical="center"/>
    </xf>
    <xf numFmtId="0" fontId="27" fillId="8" borderId="35" xfId="2" applyFont="1" applyFill="1" applyBorder="1" applyAlignment="1">
      <alignment horizontal="center" vertical="center"/>
    </xf>
    <xf numFmtId="0" fontId="24" fillId="0" borderId="1" xfId="0" applyFont="1" applyBorder="1"/>
    <xf numFmtId="0" fontId="24" fillId="0" borderId="2" xfId="0" applyFont="1" applyBorder="1"/>
    <xf numFmtId="186" fontId="24" fillId="0" borderId="2" xfId="0" applyNumberFormat="1" applyFont="1" applyBorder="1"/>
    <xf numFmtId="0" fontId="24" fillId="0" borderId="3" xfId="0" applyFont="1" applyBorder="1"/>
    <xf numFmtId="186" fontId="20" fillId="0" borderId="33" xfId="0" applyNumberFormat="1" applyFont="1" applyBorder="1"/>
    <xf numFmtId="186" fontId="20" fillId="8" borderId="33" xfId="0" applyNumberFormat="1" applyFont="1" applyFill="1" applyBorder="1"/>
    <xf numFmtId="186" fontId="19" fillId="0" borderId="47" xfId="0" applyNumberFormat="1" applyFont="1" applyBorder="1" applyAlignment="1">
      <alignment horizontal="center"/>
    </xf>
    <xf numFmtId="0" fontId="20" fillId="0" borderId="16" xfId="0" applyFont="1" applyBorder="1"/>
    <xf numFmtId="186" fontId="20" fillId="8" borderId="16" xfId="0" applyNumberFormat="1" applyFont="1" applyFill="1" applyBorder="1"/>
    <xf numFmtId="182" fontId="20" fillId="0" borderId="16" xfId="0" applyNumberFormat="1" applyFont="1" applyBorder="1" applyAlignment="1">
      <alignment horizontal="center"/>
    </xf>
    <xf numFmtId="182" fontId="20" fillId="8" borderId="16" xfId="0" applyNumberFormat="1" applyFont="1" applyFill="1" applyBorder="1" applyAlignment="1">
      <alignment horizontal="center"/>
    </xf>
    <xf numFmtId="186" fontId="19" fillId="0" borderId="0" xfId="10" applyNumberFormat="1" applyFont="1" applyFill="1"/>
    <xf numFmtId="0" fontId="25" fillId="0" borderId="13" xfId="0" applyFont="1" applyBorder="1" applyAlignment="1">
      <alignment horizontal="center"/>
    </xf>
    <xf numFmtId="165" fontId="23" fillId="4" borderId="0" xfId="14" applyFont="1" applyFill="1" applyBorder="1"/>
    <xf numFmtId="0" fontId="23" fillId="4" borderId="25" xfId="2" applyFont="1" applyFill="1" applyBorder="1"/>
    <xf numFmtId="176" fontId="19" fillId="0" borderId="16" xfId="0" applyNumberFormat="1" applyFont="1" applyBorder="1" applyAlignment="1">
      <alignment horizontal="center" vertical="center"/>
    </xf>
    <xf numFmtId="4" fontId="3" fillId="0" borderId="16" xfId="0" applyNumberFormat="1" applyFont="1" applyBorder="1" applyAlignment="1">
      <alignment vertical="center" wrapText="1"/>
    </xf>
    <xf numFmtId="4" fontId="20" fillId="0" borderId="30" xfId="0" applyNumberFormat="1" applyFont="1" applyBorder="1" applyAlignment="1">
      <alignment horizontal="center" wrapText="1"/>
    </xf>
    <xf numFmtId="4" fontId="20" fillId="0" borderId="31" xfId="0" applyNumberFormat="1" applyFont="1" applyBorder="1" applyAlignment="1">
      <alignment horizontal="center" wrapText="1"/>
    </xf>
    <xf numFmtId="186" fontId="24" fillId="0" borderId="16" xfId="0" applyNumberFormat="1" applyFont="1" applyBorder="1"/>
    <xf numFmtId="0" fontId="10" fillId="0" borderId="56" xfId="0" applyFont="1" applyBorder="1" applyAlignment="1">
      <alignment horizontal="center"/>
    </xf>
    <xf numFmtId="168" fontId="10" fillId="0" borderId="42" xfId="13" applyFont="1" applyFill="1" applyBorder="1" applyAlignment="1" applyProtection="1">
      <alignment horizontal="center"/>
    </xf>
    <xf numFmtId="0" fontId="0" fillId="0" borderId="4" xfId="0" applyBorder="1"/>
    <xf numFmtId="168" fontId="3" fillId="0" borderId="17" xfId="13" applyFont="1" applyFill="1" applyBorder="1" applyAlignment="1" applyProtection="1">
      <alignment horizontal="right"/>
    </xf>
    <xf numFmtId="44" fontId="31" fillId="0" borderId="0" xfId="16" applyNumberFormat="1" applyFont="1"/>
    <xf numFmtId="0" fontId="31" fillId="0" borderId="0" xfId="16" applyFont="1" applyAlignment="1">
      <alignment vertical="center"/>
    </xf>
    <xf numFmtId="165" fontId="26" fillId="0" borderId="0" xfId="14" applyFont="1" applyAlignment="1">
      <alignment horizontal="center" vertical="center"/>
    </xf>
    <xf numFmtId="165" fontId="31" fillId="0" borderId="0" xfId="14" applyFont="1" applyAlignment="1">
      <alignment vertical="center"/>
    </xf>
    <xf numFmtId="0" fontId="24" fillId="0" borderId="16" xfId="0" applyFont="1" applyBorder="1"/>
    <xf numFmtId="177" fontId="24" fillId="0" borderId="16" xfId="0" applyNumberFormat="1" applyFont="1" applyBorder="1"/>
    <xf numFmtId="179" fontId="24" fillId="0" borderId="16" xfId="0" applyNumberFormat="1" applyFont="1" applyBorder="1"/>
    <xf numFmtId="10" fontId="24" fillId="4" borderId="0" xfId="0" applyNumberFormat="1" applyFont="1" applyFill="1"/>
    <xf numFmtId="177" fontId="24" fillId="0" borderId="16" xfId="0" applyNumberFormat="1" applyFont="1" applyBorder="1" applyAlignment="1">
      <alignment vertical="center"/>
    </xf>
    <xf numFmtId="10" fontId="24" fillId="0" borderId="16" xfId="0" applyNumberFormat="1" applyFont="1" applyBorder="1" applyAlignment="1">
      <alignment vertical="center"/>
    </xf>
    <xf numFmtId="10" fontId="24" fillId="0" borderId="0" xfId="0" applyNumberFormat="1" applyFont="1"/>
    <xf numFmtId="10" fontId="25" fillId="7" borderId="16" xfId="16" applyNumberFormat="1" applyFont="1" applyFill="1" applyBorder="1"/>
    <xf numFmtId="187" fontId="33" fillId="0" borderId="0" xfId="16" applyNumberFormat="1" applyFont="1"/>
    <xf numFmtId="188" fontId="20" fillId="0" borderId="0" xfId="0" applyNumberFormat="1" applyFont="1"/>
    <xf numFmtId="0" fontId="20" fillId="4" borderId="0" xfId="0" applyFont="1" applyFill="1" applyBorder="1" applyAlignment="1">
      <alignment vertical="center"/>
    </xf>
    <xf numFmtId="0" fontId="10" fillId="0" borderId="9" xfId="0" applyFont="1" applyBorder="1"/>
    <xf numFmtId="0" fontId="10" fillId="0" borderId="10" xfId="0" applyFont="1" applyBorder="1"/>
    <xf numFmtId="168" fontId="10" fillId="0" borderId="11" xfId="13" applyFont="1" applyFill="1" applyBorder="1" applyAlignment="1" applyProtection="1"/>
    <xf numFmtId="0" fontId="10" fillId="0" borderId="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0" fillId="0" borderId="15" xfId="0" applyBorder="1"/>
    <xf numFmtId="172" fontId="0" fillId="10" borderId="67" xfId="0" applyNumberFormat="1" applyFill="1" applyBorder="1"/>
    <xf numFmtId="0" fontId="3" fillId="0" borderId="15" xfId="0" applyFont="1" applyBorder="1"/>
    <xf numFmtId="0" fontId="10" fillId="0" borderId="50" xfId="0" applyFont="1" applyBorder="1"/>
    <xf numFmtId="0" fontId="10" fillId="0" borderId="51" xfId="0" applyFont="1" applyBorder="1"/>
    <xf numFmtId="168" fontId="10" fillId="0" borderId="52" xfId="13" applyFont="1" applyFill="1" applyBorder="1" applyAlignment="1" applyProtection="1"/>
    <xf numFmtId="0" fontId="10" fillId="0" borderId="4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4" fontId="10" fillId="0" borderId="44" xfId="0" applyNumberFormat="1" applyFont="1" applyBorder="1" applyAlignment="1">
      <alignment wrapText="1"/>
    </xf>
    <xf numFmtId="0" fontId="10" fillId="0" borderId="56" xfId="0" applyFont="1" applyBorder="1" applyAlignment="1">
      <alignment horizontal="center" wrapText="1"/>
    </xf>
    <xf numFmtId="0" fontId="2" fillId="0" borderId="0" xfId="0" applyFont="1" applyBorder="1"/>
    <xf numFmtId="0" fontId="3" fillId="0" borderId="32" xfId="0" applyFont="1" applyBorder="1"/>
    <xf numFmtId="4" fontId="3" fillId="0" borderId="18" xfId="0" applyNumberFormat="1" applyFont="1" applyBorder="1"/>
    <xf numFmtId="0" fontId="0" fillId="0" borderId="0" xfId="0" applyBorder="1"/>
    <xf numFmtId="0" fontId="23" fillId="4" borderId="0" xfId="2" applyFont="1" applyFill="1" applyBorder="1" applyAlignment="1">
      <alignment horizontal="center"/>
    </xf>
    <xf numFmtId="3" fontId="23" fillId="4" borderId="0" xfId="2" applyNumberFormat="1" applyFont="1" applyFill="1" applyBorder="1" applyAlignment="1">
      <alignment horizontal="center"/>
    </xf>
    <xf numFmtId="3" fontId="27" fillId="4" borderId="25" xfId="2" applyNumberFormat="1" applyFont="1" applyFill="1" applyBorder="1" applyAlignment="1">
      <alignment horizontal="center"/>
    </xf>
    <xf numFmtId="0" fontId="0" fillId="0" borderId="68" xfId="0" applyBorder="1"/>
    <xf numFmtId="0" fontId="0" fillId="0" borderId="70" xfId="0" applyBorder="1"/>
    <xf numFmtId="0" fontId="0" fillId="0" borderId="71" xfId="0" applyBorder="1"/>
    <xf numFmtId="0" fontId="0" fillId="0" borderId="73" xfId="0" applyBorder="1"/>
    <xf numFmtId="0" fontId="0" fillId="0" borderId="74" xfId="0" applyBorder="1"/>
    <xf numFmtId="0" fontId="0" fillId="0" borderId="72" xfId="0" applyBorder="1"/>
    <xf numFmtId="0" fontId="0" fillId="0" borderId="69" xfId="0" applyBorder="1"/>
    <xf numFmtId="0" fontId="0" fillId="0" borderId="75" xfId="0" applyBorder="1"/>
    <xf numFmtId="0" fontId="0" fillId="0" borderId="77" xfId="0" applyBorder="1"/>
    <xf numFmtId="0" fontId="0" fillId="0" borderId="78" xfId="0" applyBorder="1"/>
    <xf numFmtId="0" fontId="0" fillId="0" borderId="79" xfId="0" applyBorder="1"/>
    <xf numFmtId="0" fontId="0" fillId="0" borderId="80" xfId="0" applyBorder="1"/>
    <xf numFmtId="0" fontId="0" fillId="0" borderId="81" xfId="0" applyBorder="1"/>
    <xf numFmtId="0" fontId="0" fillId="0" borderId="82" xfId="0" applyBorder="1"/>
    <xf numFmtId="0" fontId="0" fillId="0" borderId="83" xfId="0" applyBorder="1"/>
    <xf numFmtId="0" fontId="23" fillId="4" borderId="0" xfId="2" applyFont="1" applyFill="1" applyBorder="1"/>
    <xf numFmtId="3" fontId="23" fillId="4" borderId="0" xfId="2" applyNumberFormat="1" applyFont="1" applyFill="1" applyBorder="1"/>
    <xf numFmtId="4" fontId="23" fillId="4" borderId="0" xfId="2" applyNumberFormat="1" applyFont="1" applyFill="1" applyBorder="1"/>
    <xf numFmtId="3" fontId="27" fillId="4" borderId="0" xfId="2" applyNumberFormat="1" applyFont="1" applyFill="1" applyBorder="1"/>
    <xf numFmtId="2" fontId="23" fillId="4" borderId="0" xfId="2" applyNumberFormat="1" applyFont="1" applyFill="1" applyBorder="1"/>
    <xf numFmtId="9" fontId="19" fillId="0" borderId="0" xfId="21" applyFont="1" applyFill="1" applyBorder="1" applyAlignment="1">
      <alignment horizontal="center" vertical="center"/>
    </xf>
    <xf numFmtId="165" fontId="0" fillId="0" borderId="0" xfId="14" applyFont="1"/>
    <xf numFmtId="165" fontId="0" fillId="0" borderId="0" xfId="14" applyFont="1" applyFill="1"/>
    <xf numFmtId="165" fontId="33" fillId="0" borderId="0" xfId="14" applyFont="1"/>
    <xf numFmtId="165" fontId="24" fillId="0" borderId="0" xfId="14" applyFont="1"/>
    <xf numFmtId="165" fontId="26" fillId="0" borderId="0" xfId="14" applyFont="1"/>
    <xf numFmtId="44" fontId="0" fillId="0" borderId="0" xfId="0" applyNumberFormat="1"/>
    <xf numFmtId="4" fontId="11" fillId="4" borderId="1" xfId="2" applyNumberFormat="1" applyFont="1" applyFill="1" applyBorder="1" applyAlignment="1">
      <alignment horizontal="center"/>
    </xf>
    <xf numFmtId="4" fontId="11" fillId="4" borderId="2" xfId="2" applyNumberFormat="1" applyFont="1" applyFill="1" applyBorder="1" applyAlignment="1">
      <alignment horizontal="center"/>
    </xf>
    <xf numFmtId="4" fontId="11" fillId="4" borderId="3" xfId="2" applyNumberFormat="1" applyFont="1" applyFill="1" applyBorder="1" applyAlignment="1">
      <alignment horizontal="center"/>
    </xf>
    <xf numFmtId="4" fontId="10" fillId="4" borderId="4" xfId="2" applyNumberFormat="1" applyFont="1" applyFill="1" applyBorder="1" applyAlignment="1">
      <alignment horizontal="center"/>
    </xf>
    <xf numFmtId="4" fontId="10" fillId="4" borderId="0" xfId="2" applyNumberFormat="1" applyFont="1" applyFill="1" applyAlignment="1">
      <alignment horizontal="center"/>
    </xf>
    <xf numFmtId="4" fontId="10" fillId="4" borderId="5" xfId="2" applyNumberFormat="1" applyFont="1" applyFill="1" applyBorder="1" applyAlignment="1">
      <alignment horizontal="center"/>
    </xf>
    <xf numFmtId="0" fontId="6" fillId="4" borderId="4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14" fillId="4" borderId="46" xfId="2" applyNumberFormat="1" applyFont="1" applyFill="1" applyBorder="1" applyAlignment="1">
      <alignment horizontal="center" vertical="center" wrapText="1"/>
    </xf>
    <xf numFmtId="4" fontId="14" fillId="4" borderId="33" xfId="2" applyNumberFormat="1" applyFont="1" applyFill="1" applyBorder="1" applyAlignment="1">
      <alignment horizontal="center" vertical="center" wrapText="1"/>
    </xf>
    <xf numFmtId="4" fontId="14" fillId="4" borderId="45" xfId="2" applyNumberFormat="1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left" vertical="center" wrapText="1"/>
    </xf>
    <xf numFmtId="0" fontId="20" fillId="0" borderId="33" xfId="0" applyFont="1" applyBorder="1" applyAlignment="1">
      <alignment horizontal="left" vertical="center" wrapText="1"/>
    </xf>
    <xf numFmtId="4" fontId="20" fillId="0" borderId="30" xfId="0" applyNumberFormat="1" applyFont="1" applyBorder="1" applyAlignment="1">
      <alignment horizontal="left" vertical="top"/>
    </xf>
    <xf numFmtId="4" fontId="20" fillId="0" borderId="33" xfId="0" applyNumberFormat="1" applyFont="1" applyBorder="1" applyAlignment="1">
      <alignment horizontal="left" vertical="top"/>
    </xf>
    <xf numFmtId="0" fontId="39" fillId="0" borderId="6" xfId="0" applyFont="1" applyBorder="1" applyAlignment="1">
      <alignment horizontal="center"/>
    </xf>
    <xf numFmtId="0" fontId="39" fillId="0" borderId="7" xfId="0" applyFont="1" applyBorder="1" applyAlignment="1">
      <alignment horizontal="center"/>
    </xf>
    <xf numFmtId="0" fontId="39" fillId="0" borderId="8" xfId="0" applyFont="1" applyBorder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4" fontId="19" fillId="8" borderId="30" xfId="0" applyNumberFormat="1" applyFont="1" applyFill="1" applyBorder="1" applyAlignment="1">
      <alignment horizontal="center" vertical="center"/>
    </xf>
    <xf numFmtId="4" fontId="19" fillId="8" borderId="33" xfId="0" applyNumberFormat="1" applyFont="1" applyFill="1" applyBorder="1" applyAlignment="1">
      <alignment horizontal="center" vertical="center"/>
    </xf>
    <xf numFmtId="4" fontId="19" fillId="8" borderId="31" xfId="0" applyNumberFormat="1" applyFont="1" applyFill="1" applyBorder="1" applyAlignment="1">
      <alignment horizontal="center" vertical="center"/>
    </xf>
    <xf numFmtId="4" fontId="20" fillId="0" borderId="30" xfId="0" applyNumberFormat="1" applyFont="1" applyBorder="1" applyAlignment="1">
      <alignment horizontal="left" vertical="center" wrapText="1"/>
    </xf>
    <xf numFmtId="4" fontId="20" fillId="0" borderId="31" xfId="0" applyNumberFormat="1" applyFont="1" applyBorder="1" applyAlignment="1">
      <alignment horizontal="left" vertical="center" wrapText="1"/>
    </xf>
    <xf numFmtId="4" fontId="20" fillId="0" borderId="30" xfId="0" applyNumberFormat="1" applyFont="1" applyBorder="1" applyAlignment="1">
      <alignment horizontal="left" vertical="center"/>
    </xf>
    <xf numFmtId="4" fontId="20" fillId="0" borderId="31" xfId="0" applyNumberFormat="1" applyFont="1" applyBorder="1" applyAlignment="1">
      <alignment horizontal="left" vertical="center"/>
    </xf>
    <xf numFmtId="0" fontId="20" fillId="0" borderId="30" xfId="0" applyFont="1" applyBorder="1" applyAlignment="1">
      <alignment horizontal="left" vertical="center"/>
    </xf>
    <xf numFmtId="0" fontId="20" fillId="0" borderId="33" xfId="0" applyFont="1" applyBorder="1" applyAlignment="1">
      <alignment horizontal="left" vertical="center"/>
    </xf>
    <xf numFmtId="0" fontId="32" fillId="4" borderId="30" xfId="0" applyFont="1" applyFill="1" applyBorder="1" applyAlignment="1">
      <alignment horizontal="right" vertical="center"/>
    </xf>
    <xf numFmtId="0" fontId="32" fillId="4" borderId="33" xfId="0" applyFont="1" applyFill="1" applyBorder="1" applyAlignment="1">
      <alignment horizontal="right" vertical="center"/>
    </xf>
    <xf numFmtId="0" fontId="32" fillId="4" borderId="31" xfId="0" applyFont="1" applyFill="1" applyBorder="1" applyAlignment="1">
      <alignment horizontal="right" vertical="center"/>
    </xf>
    <xf numFmtId="0" fontId="20" fillId="0" borderId="16" xfId="0" applyFont="1" applyBorder="1" applyAlignment="1">
      <alignment horizontal="left" vertical="center"/>
    </xf>
    <xf numFmtId="0" fontId="20" fillId="0" borderId="31" xfId="0" applyFont="1" applyBorder="1" applyAlignment="1">
      <alignment horizontal="left" vertical="center"/>
    </xf>
    <xf numFmtId="0" fontId="25" fillId="0" borderId="30" xfId="0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170" fontId="25" fillId="0" borderId="16" xfId="0" applyNumberFormat="1" applyFont="1" applyBorder="1" applyAlignment="1">
      <alignment horizontal="center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38" xfId="0" applyNumberFormat="1" applyFont="1" applyBorder="1" applyAlignment="1">
      <alignment horizontal="center" vertical="center" wrapText="1"/>
    </xf>
    <xf numFmtId="4" fontId="25" fillId="0" borderId="20" xfId="0" applyNumberFormat="1" applyFont="1" applyBorder="1" applyAlignment="1">
      <alignment horizontal="center" vertical="center" wrapText="1"/>
    </xf>
    <xf numFmtId="4" fontId="25" fillId="0" borderId="22" xfId="0" applyNumberFormat="1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4" fontId="25" fillId="0" borderId="30" xfId="0" applyNumberFormat="1" applyFont="1" applyBorder="1" applyAlignment="1">
      <alignment horizontal="center" vertical="center" wrapText="1"/>
    </xf>
    <xf numFmtId="4" fontId="25" fillId="0" borderId="31" xfId="0" applyNumberFormat="1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/>
    </xf>
    <xf numFmtId="9" fontId="19" fillId="4" borderId="30" xfId="0" applyNumberFormat="1" applyFont="1" applyFill="1" applyBorder="1" applyAlignment="1">
      <alignment horizontal="right" vertical="center"/>
    </xf>
    <xf numFmtId="9" fontId="19" fillId="4" borderId="33" xfId="0" applyNumberFormat="1" applyFont="1" applyFill="1" applyBorder="1" applyAlignment="1">
      <alignment horizontal="right" vertical="center"/>
    </xf>
    <xf numFmtId="9" fontId="19" fillId="4" borderId="31" xfId="0" applyNumberFormat="1" applyFont="1" applyFill="1" applyBorder="1" applyAlignment="1">
      <alignment horizontal="right" vertical="center"/>
    </xf>
    <xf numFmtId="4" fontId="20" fillId="0" borderId="31" xfId="0" applyNumberFormat="1" applyFont="1" applyBorder="1" applyAlignment="1">
      <alignment horizontal="left" vertical="top"/>
    </xf>
    <xf numFmtId="4" fontId="20" fillId="0" borderId="30" xfId="0" applyNumberFormat="1" applyFont="1" applyBorder="1" applyAlignment="1">
      <alignment horizontal="left" vertical="top" wrapText="1"/>
    </xf>
    <xf numFmtId="4" fontId="20" fillId="0" borderId="31" xfId="0" applyNumberFormat="1" applyFont="1" applyBorder="1" applyAlignment="1">
      <alignment horizontal="left" vertical="top" wrapText="1"/>
    </xf>
    <xf numFmtId="0" fontId="19" fillId="4" borderId="30" xfId="0" applyFont="1" applyFill="1" applyBorder="1" applyAlignment="1">
      <alignment horizontal="right" vertical="center" wrapText="1"/>
    </xf>
    <xf numFmtId="0" fontId="19" fillId="4" borderId="33" xfId="0" applyFont="1" applyFill="1" applyBorder="1" applyAlignment="1">
      <alignment horizontal="right" vertical="center" wrapText="1"/>
    </xf>
    <xf numFmtId="0" fontId="19" fillId="4" borderId="31" xfId="0" applyFont="1" applyFill="1" applyBorder="1" applyAlignment="1">
      <alignment horizontal="right" vertical="center" wrapText="1"/>
    </xf>
    <xf numFmtId="0" fontId="20" fillId="4" borderId="16" xfId="0" applyFont="1" applyFill="1" applyBorder="1" applyAlignment="1">
      <alignment horizontal="right" vertical="center"/>
    </xf>
    <xf numFmtId="4" fontId="20" fillId="0" borderId="16" xfId="0" applyNumberFormat="1" applyFont="1" applyBorder="1" applyAlignment="1">
      <alignment horizontal="left" vertical="top"/>
    </xf>
    <xf numFmtId="170" fontId="19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 wrapText="1"/>
    </xf>
    <xf numFmtId="170" fontId="20" fillId="4" borderId="0" xfId="3" applyNumberFormat="1" applyFont="1" applyFill="1" applyBorder="1" applyAlignment="1">
      <alignment horizontal="center" vertical="center"/>
    </xf>
    <xf numFmtId="0" fontId="19" fillId="4" borderId="30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left" vertical="center"/>
    </xf>
    <xf numFmtId="4" fontId="27" fillId="4" borderId="84" xfId="2" applyNumberFormat="1" applyFont="1" applyFill="1" applyBorder="1" applyAlignment="1">
      <alignment horizontal="center"/>
    </xf>
    <xf numFmtId="4" fontId="27" fillId="4" borderId="85" xfId="2" applyNumberFormat="1" applyFont="1" applyFill="1" applyBorder="1" applyAlignment="1">
      <alignment horizontal="center"/>
    </xf>
    <xf numFmtId="4" fontId="27" fillId="4" borderId="86" xfId="2" applyNumberFormat="1" applyFont="1" applyFill="1" applyBorder="1" applyAlignment="1">
      <alignment horizontal="center"/>
    </xf>
    <xf numFmtId="4" fontId="23" fillId="4" borderId="74" xfId="2" applyNumberFormat="1" applyFont="1" applyFill="1" applyBorder="1" applyAlignment="1">
      <alignment horizontal="center"/>
    </xf>
    <xf numFmtId="4" fontId="23" fillId="4" borderId="0" xfId="2" applyNumberFormat="1" applyFont="1" applyFill="1" applyAlignment="1">
      <alignment horizontal="center"/>
    </xf>
    <xf numFmtId="4" fontId="23" fillId="4" borderId="76" xfId="2" applyNumberFormat="1" applyFont="1" applyFill="1" applyBorder="1" applyAlignment="1">
      <alignment horizontal="center"/>
    </xf>
    <xf numFmtId="4" fontId="10" fillId="7" borderId="6" xfId="0" applyNumberFormat="1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25" fillId="0" borderId="33" xfId="0" applyFont="1" applyBorder="1" applyAlignment="1">
      <alignment horizontal="center"/>
    </xf>
    <xf numFmtId="0" fontId="25" fillId="0" borderId="49" xfId="0" applyFont="1" applyBorder="1" applyAlignment="1">
      <alignment horizontal="center"/>
    </xf>
    <xf numFmtId="0" fontId="25" fillId="0" borderId="56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2" xfId="0" applyBorder="1" applyAlignment="1">
      <alignment horizontal="center"/>
    </xf>
    <xf numFmtId="4" fontId="25" fillId="0" borderId="25" xfId="0" applyNumberFormat="1" applyFont="1" applyBorder="1" applyAlignment="1">
      <alignment horizontal="center" vertical="center" wrapText="1"/>
    </xf>
    <xf numFmtId="4" fontId="25" fillId="0" borderId="21" xfId="0" applyNumberFormat="1" applyFont="1" applyBorder="1" applyAlignment="1">
      <alignment horizontal="center" vertical="center" wrapText="1"/>
    </xf>
    <xf numFmtId="3" fontId="25" fillId="0" borderId="15" xfId="0" applyNumberFormat="1" applyFont="1" applyBorder="1" applyAlignment="1">
      <alignment horizontal="center" vertical="center" wrapText="1"/>
    </xf>
    <xf numFmtId="3" fontId="25" fillId="0" borderId="16" xfId="0" applyNumberFormat="1" applyFont="1" applyBorder="1" applyAlignment="1">
      <alignment horizontal="center" vertical="center" wrapText="1"/>
    </xf>
    <xf numFmtId="3" fontId="25" fillId="0" borderId="17" xfId="0" applyNumberFormat="1" applyFont="1" applyBorder="1" applyAlignment="1">
      <alignment horizontal="center" vertical="center" wrapText="1"/>
    </xf>
    <xf numFmtId="4" fontId="25" fillId="0" borderId="33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4" fontId="25" fillId="0" borderId="50" xfId="0" applyNumberFormat="1" applyFont="1" applyBorder="1" applyAlignment="1">
      <alignment horizontal="center" vertical="center"/>
    </xf>
    <xf numFmtId="14" fontId="25" fillId="0" borderId="51" xfId="0" applyNumberFormat="1" applyFont="1" applyBorder="1" applyAlignment="1">
      <alignment horizontal="center" vertical="center"/>
    </xf>
    <xf numFmtId="14" fontId="25" fillId="0" borderId="52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27" fillId="4" borderId="16" xfId="2" applyFont="1" applyFill="1" applyBorder="1" applyAlignment="1">
      <alignment horizontal="left"/>
    </xf>
    <xf numFmtId="0" fontId="27" fillId="4" borderId="26" xfId="2" applyFont="1" applyFill="1" applyBorder="1" applyAlignment="1">
      <alignment horizontal="center" vertical="center"/>
    </xf>
    <xf numFmtId="0" fontId="27" fillId="4" borderId="38" xfId="2" applyFont="1" applyFill="1" applyBorder="1" applyAlignment="1">
      <alignment horizontal="center" vertical="center"/>
    </xf>
    <xf numFmtId="0" fontId="27" fillId="4" borderId="47" xfId="2" applyFont="1" applyFill="1" applyBorder="1" applyAlignment="1">
      <alignment horizontal="center" vertical="center"/>
    </xf>
    <xf numFmtId="0" fontId="27" fillId="4" borderId="37" xfId="2" applyFont="1" applyFill="1" applyBorder="1" applyAlignment="1">
      <alignment horizontal="center" vertical="center"/>
    </xf>
    <xf numFmtId="0" fontId="27" fillId="4" borderId="20" xfId="2" applyFont="1" applyFill="1" applyBorder="1" applyAlignment="1">
      <alignment horizontal="center" vertical="center"/>
    </xf>
    <xf numFmtId="0" fontId="27" fillId="4" borderId="22" xfId="2" applyFont="1" applyFill="1" applyBorder="1" applyAlignment="1">
      <alignment horizontal="center" vertical="center"/>
    </xf>
    <xf numFmtId="0" fontId="23" fillId="4" borderId="16" xfId="2" applyFont="1" applyFill="1" applyBorder="1" applyAlignment="1">
      <alignment horizontal="center"/>
    </xf>
    <xf numFmtId="3" fontId="25" fillId="0" borderId="19" xfId="0" applyNumberFormat="1" applyFont="1" applyBorder="1" applyAlignment="1">
      <alignment horizontal="center" vertical="center" wrapText="1"/>
    </xf>
    <xf numFmtId="3" fontId="25" fillId="0" borderId="13" xfId="0" applyNumberFormat="1" applyFont="1" applyBorder="1" applyAlignment="1">
      <alignment horizontal="center" vertical="center" wrapText="1"/>
    </xf>
    <xf numFmtId="4" fontId="27" fillId="4" borderId="19" xfId="2" applyNumberFormat="1" applyFont="1" applyFill="1" applyBorder="1" applyAlignment="1">
      <alignment horizontal="center" vertical="center" wrapText="1"/>
    </xf>
    <xf numFmtId="4" fontId="27" fillId="4" borderId="13" xfId="2" applyNumberFormat="1" applyFont="1" applyFill="1" applyBorder="1" applyAlignment="1">
      <alignment horizontal="center" vertical="center" wrapText="1"/>
    </xf>
    <xf numFmtId="4" fontId="23" fillId="4" borderId="26" xfId="2" applyNumberFormat="1" applyFont="1" applyFill="1" applyBorder="1" applyAlignment="1">
      <alignment horizontal="center" vertical="center" wrapText="1"/>
    </xf>
    <xf numFmtId="4" fontId="23" fillId="4" borderId="38" xfId="2" applyNumberFormat="1" applyFont="1" applyFill="1" applyBorder="1" applyAlignment="1">
      <alignment horizontal="center" vertical="center" wrapText="1"/>
    </xf>
    <xf numFmtId="4" fontId="23" fillId="4" borderId="20" xfId="2" applyNumberFormat="1" applyFont="1" applyFill="1" applyBorder="1" applyAlignment="1">
      <alignment horizontal="center" vertical="center" wrapText="1"/>
    </xf>
    <xf numFmtId="4" fontId="23" fillId="4" borderId="22" xfId="2" applyNumberFormat="1" applyFont="1" applyFill="1" applyBorder="1" applyAlignment="1">
      <alignment horizontal="center" vertical="center" wrapText="1"/>
    </xf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4" fontId="27" fillId="4" borderId="37" xfId="2" applyNumberFormat="1" applyFont="1" applyFill="1" applyBorder="1" applyAlignment="1">
      <alignment horizontal="center" vertical="center" wrapText="1"/>
    </xf>
    <xf numFmtId="4" fontId="27" fillId="4" borderId="1" xfId="2" applyNumberFormat="1" applyFont="1" applyFill="1" applyBorder="1" applyAlignment="1">
      <alignment horizontal="center" vertical="center" wrapText="1"/>
    </xf>
    <xf numFmtId="4" fontId="27" fillId="4" borderId="2" xfId="2" applyNumberFormat="1" applyFont="1" applyFill="1" applyBorder="1" applyAlignment="1">
      <alignment horizontal="center" vertical="center" wrapText="1"/>
    </xf>
    <xf numFmtId="4" fontId="27" fillId="4" borderId="3" xfId="2" applyNumberFormat="1" applyFont="1" applyFill="1" applyBorder="1" applyAlignment="1">
      <alignment horizontal="center" vertical="center" wrapText="1"/>
    </xf>
    <xf numFmtId="4" fontId="27" fillId="4" borderId="9" xfId="2" applyNumberFormat="1" applyFont="1" applyFill="1" applyBorder="1" applyAlignment="1">
      <alignment horizontal="center" vertical="center" wrapText="1"/>
    </xf>
    <xf numFmtId="4" fontId="27" fillId="4" borderId="10" xfId="2" applyNumberFormat="1" applyFont="1" applyFill="1" applyBorder="1" applyAlignment="1">
      <alignment horizontal="center" vertical="center" wrapText="1"/>
    </xf>
    <xf numFmtId="4" fontId="27" fillId="4" borderId="11" xfId="2" applyNumberFormat="1" applyFont="1" applyFill="1" applyBorder="1" applyAlignment="1">
      <alignment horizontal="center" vertical="center" wrapText="1"/>
    </xf>
    <xf numFmtId="4" fontId="27" fillId="4" borderId="6" xfId="2" applyNumberFormat="1" applyFont="1" applyFill="1" applyBorder="1" applyAlignment="1">
      <alignment horizontal="center" vertical="center" wrapText="1"/>
    </xf>
    <xf numFmtId="4" fontId="27" fillId="4" borderId="7" xfId="2" applyNumberFormat="1" applyFont="1" applyFill="1" applyBorder="1" applyAlignment="1">
      <alignment horizontal="center" vertical="center" wrapText="1"/>
    </xf>
    <xf numFmtId="4" fontId="27" fillId="4" borderId="8" xfId="2" applyNumberFormat="1" applyFont="1" applyFill="1" applyBorder="1" applyAlignment="1">
      <alignment horizontal="center" vertical="center" wrapText="1"/>
    </xf>
    <xf numFmtId="4" fontId="27" fillId="8" borderId="61" xfId="2" applyNumberFormat="1" applyFont="1" applyFill="1" applyBorder="1" applyAlignment="1">
      <alignment horizontal="center"/>
    </xf>
    <xf numFmtId="4" fontId="27" fillId="8" borderId="7" xfId="2" applyNumberFormat="1" applyFont="1" applyFill="1" applyBorder="1" applyAlignment="1">
      <alignment horizontal="center"/>
    </xf>
    <xf numFmtId="4" fontId="27" fillId="8" borderId="62" xfId="2" applyNumberFormat="1" applyFont="1" applyFill="1" applyBorder="1" applyAlignment="1">
      <alignment horizontal="center"/>
    </xf>
    <xf numFmtId="0" fontId="23" fillId="4" borderId="30" xfId="2" applyFont="1" applyFill="1" applyBorder="1" applyAlignment="1">
      <alignment horizontal="center"/>
    </xf>
    <xf numFmtId="0" fontId="23" fillId="4" borderId="31" xfId="2" applyFont="1" applyFill="1" applyBorder="1" applyAlignment="1">
      <alignment horizontal="center"/>
    </xf>
    <xf numFmtId="0" fontId="23" fillId="4" borderId="30" xfId="2" applyFont="1" applyFill="1" applyBorder="1" applyAlignment="1">
      <alignment horizontal="left"/>
    </xf>
    <xf numFmtId="0" fontId="23" fillId="4" borderId="31" xfId="2" applyFont="1" applyFill="1" applyBorder="1" applyAlignment="1">
      <alignment horizontal="left"/>
    </xf>
    <xf numFmtId="4" fontId="23" fillId="4" borderId="30" xfId="2" applyNumberFormat="1" applyFont="1" applyFill="1" applyBorder="1" applyAlignment="1">
      <alignment horizontal="left"/>
    </xf>
    <xf numFmtId="4" fontId="23" fillId="4" borderId="31" xfId="2" applyNumberFormat="1" applyFont="1" applyFill="1" applyBorder="1" applyAlignment="1">
      <alignment horizontal="left"/>
    </xf>
    <xf numFmtId="0" fontId="40" fillId="0" borderId="30" xfId="2" applyFont="1" applyBorder="1" applyAlignment="1">
      <alignment horizontal="left"/>
    </xf>
    <xf numFmtId="0" fontId="40" fillId="0" borderId="31" xfId="2" applyFont="1" applyBorder="1" applyAlignment="1">
      <alignment horizontal="left"/>
    </xf>
    <xf numFmtId="4" fontId="27" fillId="8" borderId="61" xfId="2" applyNumberFormat="1" applyFont="1" applyFill="1" applyBorder="1" applyAlignment="1">
      <alignment horizontal="center" wrapText="1"/>
    </xf>
    <xf numFmtId="4" fontId="27" fillId="8" borderId="7" xfId="2" applyNumberFormat="1" applyFont="1" applyFill="1" applyBorder="1" applyAlignment="1">
      <alignment horizontal="center" wrapText="1"/>
    </xf>
    <xf numFmtId="4" fontId="27" fillId="8" borderId="62" xfId="2" applyNumberFormat="1" applyFont="1" applyFill="1" applyBorder="1" applyAlignment="1">
      <alignment horizontal="center" wrapText="1"/>
    </xf>
    <xf numFmtId="4" fontId="23" fillId="4" borderId="30" xfId="2" applyNumberFormat="1" applyFont="1" applyFill="1" applyBorder="1" applyAlignment="1">
      <alignment horizontal="center"/>
    </xf>
    <xf numFmtId="4" fontId="23" fillId="4" borderId="31" xfId="2" applyNumberFormat="1" applyFont="1" applyFill="1" applyBorder="1" applyAlignment="1">
      <alignment horizontal="center"/>
    </xf>
    <xf numFmtId="4" fontId="27" fillId="8" borderId="61" xfId="2" applyNumberFormat="1" applyFont="1" applyFill="1" applyBorder="1" applyAlignment="1">
      <alignment horizontal="center" vertical="center"/>
    </xf>
    <xf numFmtId="4" fontId="27" fillId="8" borderId="7" xfId="2" applyNumberFormat="1" applyFont="1" applyFill="1" applyBorder="1" applyAlignment="1">
      <alignment horizontal="center" vertical="center"/>
    </xf>
    <xf numFmtId="4" fontId="27" fillId="8" borderId="62" xfId="2" applyNumberFormat="1" applyFont="1" applyFill="1" applyBorder="1" applyAlignment="1">
      <alignment horizontal="center" vertical="center"/>
    </xf>
    <xf numFmtId="4" fontId="23" fillId="4" borderId="30" xfId="2" applyNumberFormat="1" applyFont="1" applyFill="1" applyBorder="1" applyAlignment="1">
      <alignment horizontal="left" wrapText="1"/>
    </xf>
    <xf numFmtId="4" fontId="23" fillId="4" borderId="31" xfId="2" applyNumberFormat="1" applyFont="1" applyFill="1" applyBorder="1" applyAlignment="1">
      <alignment horizontal="left" wrapText="1"/>
    </xf>
    <xf numFmtId="0" fontId="23" fillId="4" borderId="26" xfId="2" applyFont="1" applyFill="1" applyBorder="1" applyAlignment="1">
      <alignment horizontal="center"/>
    </xf>
    <xf numFmtId="0" fontId="23" fillId="4" borderId="38" xfId="2" applyFont="1" applyFill="1" applyBorder="1" applyAlignment="1">
      <alignment horizontal="center"/>
    </xf>
    <xf numFmtId="0" fontId="23" fillId="4" borderId="47" xfId="2" applyFont="1" applyFill="1" applyBorder="1" applyAlignment="1">
      <alignment horizontal="center"/>
    </xf>
    <xf numFmtId="0" fontId="23" fillId="4" borderId="37" xfId="2" applyFont="1" applyFill="1" applyBorder="1" applyAlignment="1">
      <alignment horizontal="center"/>
    </xf>
    <xf numFmtId="0" fontId="23" fillId="4" borderId="20" xfId="2" applyFont="1" applyFill="1" applyBorder="1" applyAlignment="1">
      <alignment horizontal="center"/>
    </xf>
    <xf numFmtId="0" fontId="23" fillId="4" borderId="22" xfId="2" applyFont="1" applyFill="1" applyBorder="1" applyAlignment="1">
      <alignment horizontal="center"/>
    </xf>
    <xf numFmtId="4" fontId="27" fillId="4" borderId="26" xfId="2" applyNumberFormat="1" applyFont="1" applyFill="1" applyBorder="1" applyAlignment="1">
      <alignment horizontal="center" vertical="center" wrapText="1"/>
    </xf>
    <xf numFmtId="4" fontId="27" fillId="4" borderId="25" xfId="2" applyNumberFormat="1" applyFont="1" applyFill="1" applyBorder="1" applyAlignment="1">
      <alignment horizontal="center" vertical="center" wrapText="1"/>
    </xf>
    <xf numFmtId="4" fontId="27" fillId="4" borderId="38" xfId="2" applyNumberFormat="1" applyFont="1" applyFill="1" applyBorder="1" applyAlignment="1">
      <alignment horizontal="center" vertical="center" wrapText="1"/>
    </xf>
    <xf numFmtId="4" fontId="27" fillId="4" borderId="60" xfId="2" applyNumberFormat="1" applyFont="1" applyFill="1" applyBorder="1" applyAlignment="1">
      <alignment horizontal="center" vertical="center" wrapText="1"/>
    </xf>
    <xf numFmtId="4" fontId="27" fillId="4" borderId="58" xfId="2" applyNumberFormat="1" applyFont="1" applyFill="1" applyBorder="1" applyAlignment="1">
      <alignment horizontal="center" vertical="center" wrapText="1"/>
    </xf>
    <xf numFmtId="0" fontId="27" fillId="4" borderId="30" xfId="2" applyFont="1" applyFill="1" applyBorder="1" applyAlignment="1">
      <alignment horizontal="left"/>
    </xf>
    <xf numFmtId="0" fontId="27" fillId="4" borderId="33" xfId="2" applyFont="1" applyFill="1" applyBorder="1" applyAlignment="1">
      <alignment horizontal="left"/>
    </xf>
    <xf numFmtId="0" fontId="27" fillId="4" borderId="31" xfId="2" applyFont="1" applyFill="1" applyBorder="1" applyAlignment="1">
      <alignment horizontal="left"/>
    </xf>
    <xf numFmtId="0" fontId="23" fillId="4" borderId="13" xfId="2" applyFont="1" applyFill="1" applyBorder="1" applyAlignment="1">
      <alignment horizontal="center"/>
    </xf>
    <xf numFmtId="0" fontId="40" fillId="0" borderId="16" xfId="2" applyFont="1" applyBorder="1" applyAlignment="1">
      <alignment horizontal="left" wrapText="1"/>
    </xf>
    <xf numFmtId="0" fontId="40" fillId="0" borderId="16" xfId="2" applyFont="1" applyBorder="1" applyAlignment="1">
      <alignment horizontal="left"/>
    </xf>
    <xf numFmtId="0" fontId="23" fillId="4" borderId="30" xfId="2" applyFont="1" applyFill="1" applyBorder="1" applyAlignment="1">
      <alignment horizontal="left" vertical="center" wrapText="1"/>
    </xf>
    <xf numFmtId="0" fontId="23" fillId="4" borderId="31" xfId="2" applyFont="1" applyFill="1" applyBorder="1" applyAlignment="1">
      <alignment horizontal="left" vertical="center" wrapText="1"/>
    </xf>
    <xf numFmtId="0" fontId="18" fillId="4" borderId="0" xfId="0" applyFont="1" applyFill="1" applyAlignment="1">
      <alignment horizontal="left" vertical="center"/>
    </xf>
    <xf numFmtId="171" fontId="17" fillId="4" borderId="41" xfId="3" applyNumberFormat="1" applyFont="1" applyFill="1" applyBorder="1" applyAlignment="1">
      <alignment horizontal="center" vertical="center"/>
    </xf>
    <xf numFmtId="171" fontId="17" fillId="4" borderId="36" xfId="3" applyNumberFormat="1" applyFont="1" applyFill="1" applyBorder="1" applyAlignment="1">
      <alignment horizontal="center" vertical="center"/>
    </xf>
    <xf numFmtId="171" fontId="17" fillId="4" borderId="39" xfId="3" applyNumberFormat="1" applyFont="1" applyFill="1" applyBorder="1" applyAlignment="1">
      <alignment horizontal="center" vertical="center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28" xfId="0" applyNumberFormat="1" applyFont="1" applyFill="1" applyBorder="1" applyAlignment="1">
      <alignment horizontal="center" vertical="center" wrapText="1"/>
    </xf>
    <xf numFmtId="4" fontId="17" fillId="4" borderId="21" xfId="0" applyNumberFormat="1" applyFont="1" applyFill="1" applyBorder="1" applyAlignment="1">
      <alignment horizontal="center" vertical="center" wrapText="1"/>
    </xf>
    <xf numFmtId="4" fontId="17" fillId="4" borderId="29" xfId="0" applyNumberFormat="1" applyFont="1" applyFill="1" applyBorder="1" applyAlignment="1">
      <alignment horizontal="center" vertical="center" wrapText="1"/>
    </xf>
    <xf numFmtId="171" fontId="17" fillId="4" borderId="3" xfId="3" applyNumberFormat="1" applyFont="1" applyFill="1" applyBorder="1" applyAlignment="1">
      <alignment horizontal="center" vertical="center"/>
    </xf>
    <xf numFmtId="171" fontId="17" fillId="4" borderId="5" xfId="3" applyNumberFormat="1" applyFont="1" applyFill="1" applyBorder="1" applyAlignment="1">
      <alignment horizontal="center" vertical="center"/>
    </xf>
    <xf numFmtId="171" fontId="17" fillId="4" borderId="11" xfId="3" applyNumberFormat="1" applyFont="1" applyFill="1" applyBorder="1" applyAlignment="1">
      <alignment horizontal="center" vertical="center"/>
    </xf>
    <xf numFmtId="0" fontId="17" fillId="5" borderId="0" xfId="0" applyFont="1" applyFill="1" applyAlignment="1">
      <alignment horizontal="left" vertical="center" wrapText="1"/>
    </xf>
    <xf numFmtId="0" fontId="17" fillId="5" borderId="5" xfId="0" applyFont="1" applyFill="1" applyBorder="1" applyAlignment="1">
      <alignment horizontal="left" vertical="center" wrapText="1"/>
    </xf>
    <xf numFmtId="4" fontId="10" fillId="0" borderId="6" xfId="2" applyNumberFormat="1" applyFont="1" applyBorder="1" applyAlignment="1">
      <alignment horizontal="center" vertical="center" wrapText="1"/>
    </xf>
    <xf numFmtId="4" fontId="10" fillId="0" borderId="7" xfId="2" applyNumberFormat="1" applyFont="1" applyBorder="1" applyAlignment="1">
      <alignment horizontal="center" vertical="center" wrapText="1"/>
    </xf>
    <xf numFmtId="4" fontId="10" fillId="0" borderId="8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/>
    </xf>
    <xf numFmtId="4" fontId="4" fillId="0" borderId="3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25" fillId="0" borderId="16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7" fillId="4" borderId="30" xfId="2" applyFont="1" applyFill="1" applyBorder="1" applyAlignment="1">
      <alignment horizontal="center"/>
    </xf>
    <xf numFmtId="0" fontId="27" fillId="4" borderId="31" xfId="2" applyFont="1" applyFill="1" applyBorder="1" applyAlignment="1">
      <alignment horizontal="center"/>
    </xf>
    <xf numFmtId="0" fontId="23" fillId="4" borderId="30" xfId="8" applyFont="1" applyFill="1" applyBorder="1" applyAlignment="1">
      <alignment horizontal="left"/>
    </xf>
    <xf numFmtId="0" fontId="23" fillId="4" borderId="31" xfId="8" applyFont="1" applyFill="1" applyBorder="1" applyAlignment="1">
      <alignment horizontal="left"/>
    </xf>
    <xf numFmtId="175" fontId="23" fillId="4" borderId="0" xfId="2" applyNumberFormat="1" applyFont="1" applyFill="1" applyAlignment="1">
      <alignment horizontal="left" wrapText="1"/>
    </xf>
    <xf numFmtId="0" fontId="27" fillId="4" borderId="24" xfId="2" applyFont="1" applyFill="1" applyBorder="1" applyAlignment="1">
      <alignment horizontal="center" vertical="top"/>
    </xf>
    <xf numFmtId="0" fontId="27" fillId="4" borderId="25" xfId="2" applyFont="1" applyFill="1" applyBorder="1" applyAlignment="1">
      <alignment horizontal="center" vertical="top"/>
    </xf>
    <xf numFmtId="0" fontId="27" fillId="4" borderId="38" xfId="2" applyFont="1" applyFill="1" applyBorder="1" applyAlignment="1">
      <alignment horizontal="center" vertical="top"/>
    </xf>
    <xf numFmtId="175" fontId="27" fillId="4" borderId="0" xfId="2" applyNumberFormat="1" applyFont="1" applyFill="1" applyAlignment="1">
      <alignment horizontal="left" wrapText="1"/>
    </xf>
    <xf numFmtId="0" fontId="20" fillId="0" borderId="0" xfId="0" applyFont="1" applyAlignment="1">
      <alignment horizontal="center" vertical="center"/>
    </xf>
    <xf numFmtId="0" fontId="19" fillId="4" borderId="50" xfId="0" applyFont="1" applyFill="1" applyBorder="1" applyAlignment="1">
      <alignment horizontal="right" vertical="center" wrapText="1"/>
    </xf>
    <xf numFmtId="0" fontId="19" fillId="4" borderId="51" xfId="0" applyFont="1" applyFill="1" applyBorder="1" applyAlignment="1">
      <alignment horizontal="right" vertical="center" wrapText="1"/>
    </xf>
    <xf numFmtId="0" fontId="20" fillId="4" borderId="15" xfId="0" applyFont="1" applyFill="1" applyBorder="1" applyAlignment="1">
      <alignment horizontal="right" vertical="center"/>
    </xf>
    <xf numFmtId="4" fontId="20" fillId="0" borderId="30" xfId="0" applyNumberFormat="1" applyFont="1" applyBorder="1" applyAlignment="1">
      <alignment horizontal="left" wrapText="1"/>
    </xf>
    <xf numFmtId="4" fontId="20" fillId="0" borderId="31" xfId="0" applyNumberFormat="1" applyFont="1" applyBorder="1" applyAlignment="1">
      <alignment horizontal="left" wrapText="1"/>
    </xf>
    <xf numFmtId="4" fontId="20" fillId="0" borderId="30" xfId="0" applyNumberFormat="1" applyFont="1" applyBorder="1" applyAlignment="1">
      <alignment horizontal="center" wrapText="1"/>
    </xf>
    <xf numFmtId="4" fontId="20" fillId="0" borderId="31" xfId="0" applyNumberFormat="1" applyFont="1" applyBorder="1" applyAlignment="1">
      <alignment horizontal="center" wrapText="1"/>
    </xf>
    <xf numFmtId="4" fontId="19" fillId="8" borderId="30" xfId="0" applyNumberFormat="1" applyFont="1" applyFill="1" applyBorder="1" applyAlignment="1">
      <alignment horizontal="center"/>
    </xf>
    <xf numFmtId="4" fontId="19" fillId="8" borderId="31" xfId="0" applyNumberFormat="1" applyFont="1" applyFill="1" applyBorder="1" applyAlignment="1">
      <alignment horizontal="center"/>
    </xf>
    <xf numFmtId="0" fontId="19" fillId="8" borderId="31" xfId="0" applyFont="1" applyFill="1" applyBorder="1" applyAlignment="1">
      <alignment horizontal="center"/>
    </xf>
    <xf numFmtId="4" fontId="20" fillId="0" borderId="30" xfId="0" applyNumberFormat="1" applyFont="1" applyBorder="1" applyAlignment="1">
      <alignment horizontal="left"/>
    </xf>
    <xf numFmtId="4" fontId="20" fillId="0" borderId="31" xfId="0" applyNumberFormat="1" applyFont="1" applyBorder="1" applyAlignment="1">
      <alignment horizontal="left"/>
    </xf>
    <xf numFmtId="0" fontId="19" fillId="0" borderId="0" xfId="0" applyFont="1" applyAlignment="1">
      <alignment horizontal="left"/>
    </xf>
    <xf numFmtId="0" fontId="24" fillId="0" borderId="64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19" fillId="4" borderId="15" xfId="0" applyFont="1" applyFill="1" applyBorder="1" applyAlignment="1">
      <alignment horizontal="right" vertical="center" wrapText="1"/>
    </xf>
    <xf numFmtId="0" fontId="19" fillId="4" borderId="16" xfId="0" applyFont="1" applyFill="1" applyBorder="1" applyAlignment="1">
      <alignment horizontal="right" vertical="center" wrapText="1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20" fillId="0" borderId="20" xfId="0" applyFont="1" applyBorder="1" applyAlignment="1">
      <alignment horizontal="center" wrapText="1"/>
    </xf>
    <xf numFmtId="0" fontId="20" fillId="0" borderId="22" xfId="0" applyFont="1" applyBorder="1" applyAlignment="1">
      <alignment horizontal="center" wrapText="1"/>
    </xf>
    <xf numFmtId="0" fontId="24" fillId="0" borderId="1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5" fillId="0" borderId="5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4" fontId="25" fillId="0" borderId="60" xfId="0" applyNumberFormat="1" applyFont="1" applyBorder="1" applyAlignment="1">
      <alignment horizontal="center" vertical="center" wrapText="1"/>
    </xf>
    <xf numFmtId="4" fontId="25" fillId="0" borderId="58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0" borderId="2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0" fontId="25" fillId="0" borderId="65" xfId="0" applyFont="1" applyBorder="1" applyAlignment="1">
      <alignment horizontal="center"/>
    </xf>
    <xf numFmtId="0" fontId="25" fillId="0" borderId="66" xfId="0" applyFont="1" applyBorder="1" applyAlignment="1">
      <alignment horizont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0" fillId="0" borderId="30" xfId="0" applyFont="1" applyBorder="1" applyAlignment="1">
      <alignment horizontal="left"/>
    </xf>
    <xf numFmtId="0" fontId="20" fillId="0" borderId="31" xfId="0" applyFont="1" applyBorder="1" applyAlignment="1">
      <alignment horizontal="left"/>
    </xf>
    <xf numFmtId="0" fontId="20" fillId="0" borderId="30" xfId="0" applyFont="1" applyBorder="1" applyAlignment="1">
      <alignment horizontal="left" wrapText="1"/>
    </xf>
    <xf numFmtId="0" fontId="20" fillId="0" borderId="31" xfId="0" applyFont="1" applyBorder="1" applyAlignment="1">
      <alignment horizontal="left" wrapText="1"/>
    </xf>
    <xf numFmtId="186" fontId="25" fillId="0" borderId="63" xfId="0" applyNumberFormat="1" applyFont="1" applyBorder="1" applyAlignment="1">
      <alignment horizontal="center"/>
    </xf>
    <xf numFmtId="186" fontId="25" fillId="0" borderId="3" xfId="0" applyNumberFormat="1" applyFont="1" applyBorder="1" applyAlignment="1">
      <alignment horizontal="center"/>
    </xf>
    <xf numFmtId="186" fontId="25" fillId="0" borderId="47" xfId="0" applyNumberFormat="1" applyFont="1" applyBorder="1" applyAlignment="1">
      <alignment horizontal="center"/>
    </xf>
    <xf numFmtId="186" fontId="25" fillId="0" borderId="5" xfId="0" applyNumberFormat="1" applyFont="1" applyBorder="1" applyAlignment="1">
      <alignment horizontal="center"/>
    </xf>
    <xf numFmtId="186" fontId="25" fillId="0" borderId="60" xfId="0" applyNumberFormat="1" applyFont="1" applyBorder="1" applyAlignment="1">
      <alignment horizontal="center"/>
    </xf>
    <xf numFmtId="186" fontId="25" fillId="0" borderId="11" xfId="0" applyNumberFormat="1" applyFont="1" applyBorder="1" applyAlignment="1">
      <alignment horizontal="center"/>
    </xf>
    <xf numFmtId="4" fontId="25" fillId="0" borderId="10" xfId="0" applyNumberFormat="1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/>
    </xf>
    <xf numFmtId="3" fontId="25" fillId="0" borderId="26" xfId="0" applyNumberFormat="1" applyFont="1" applyBorder="1" applyAlignment="1">
      <alignment horizontal="center" vertical="center" wrapText="1"/>
    </xf>
    <xf numFmtId="3" fontId="25" fillId="0" borderId="38" xfId="0" applyNumberFormat="1" applyFont="1" applyBorder="1" applyAlignment="1">
      <alignment horizontal="center" vertical="center" wrapText="1"/>
    </xf>
    <xf numFmtId="3" fontId="25" fillId="0" borderId="20" xfId="0" applyNumberFormat="1" applyFont="1" applyBorder="1" applyAlignment="1">
      <alignment horizontal="center" vertical="center" wrapText="1"/>
    </xf>
    <xf numFmtId="3" fontId="25" fillId="0" borderId="22" xfId="0" applyNumberFormat="1" applyFont="1" applyBorder="1" applyAlignment="1">
      <alignment horizontal="center" vertical="center" wrapText="1"/>
    </xf>
    <xf numFmtId="0" fontId="24" fillId="0" borderId="16" xfId="16" applyFont="1" applyBorder="1" applyAlignment="1">
      <alignment horizontal="center" vertical="center"/>
    </xf>
    <xf numFmtId="44" fontId="24" fillId="0" borderId="16" xfId="17" applyFont="1" applyBorder="1" applyAlignment="1">
      <alignment horizontal="center" vertical="center"/>
    </xf>
    <xf numFmtId="0" fontId="24" fillId="0" borderId="19" xfId="16" applyFont="1" applyBorder="1" applyAlignment="1">
      <alignment horizontal="center" vertical="center"/>
    </xf>
    <xf numFmtId="0" fontId="24" fillId="0" borderId="48" xfId="16" applyFont="1" applyBorder="1" applyAlignment="1">
      <alignment horizontal="center" vertical="center"/>
    </xf>
    <xf numFmtId="0" fontId="24" fillId="0" borderId="13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 wrapText="1"/>
    </xf>
    <xf numFmtId="0" fontId="25" fillId="0" borderId="38" xfId="16" applyFont="1" applyBorder="1" applyAlignment="1">
      <alignment horizontal="center" vertical="center" wrapText="1"/>
    </xf>
    <xf numFmtId="0" fontId="25" fillId="0" borderId="20" xfId="16" applyFont="1" applyBorder="1" applyAlignment="1">
      <alignment horizontal="center" vertical="center" wrapText="1"/>
    </xf>
    <xf numFmtId="0" fontId="25" fillId="0" borderId="22" xfId="16" applyFont="1" applyBorder="1" applyAlignment="1">
      <alignment horizontal="center" vertical="center" wrapText="1"/>
    </xf>
    <xf numFmtId="0" fontId="24" fillId="0" borderId="19" xfId="16" applyFont="1" applyBorder="1" applyAlignment="1">
      <alignment horizontal="center"/>
    </xf>
    <xf numFmtId="0" fontId="24" fillId="0" borderId="48" xfId="16" applyFont="1" applyBorder="1" applyAlignment="1">
      <alignment horizontal="center"/>
    </xf>
    <xf numFmtId="0" fontId="24" fillId="0" borderId="13" xfId="16" applyFont="1" applyBorder="1" applyAlignment="1">
      <alignment horizontal="center"/>
    </xf>
    <xf numFmtId="0" fontId="25" fillId="0" borderId="19" xfId="16" applyFont="1" applyBorder="1" applyAlignment="1">
      <alignment horizontal="center" vertical="center" wrapText="1"/>
    </xf>
    <xf numFmtId="0" fontId="25" fillId="0" borderId="13" xfId="16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25" fillId="0" borderId="30" xfId="16" applyFont="1" applyBorder="1" applyAlignment="1">
      <alignment horizontal="center" vertical="center"/>
    </xf>
    <xf numFmtId="0" fontId="25" fillId="0" borderId="31" xfId="16" applyFont="1" applyBorder="1" applyAlignment="1">
      <alignment horizontal="center" vertical="center"/>
    </xf>
    <xf numFmtId="0" fontId="24" fillId="0" borderId="30" xfId="16" applyFont="1" applyBorder="1" applyAlignment="1">
      <alignment horizontal="center" vertical="center"/>
    </xf>
    <xf numFmtId="0" fontId="24" fillId="0" borderId="31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/>
    </xf>
    <xf numFmtId="0" fontId="25" fillId="0" borderId="38" xfId="16" applyFont="1" applyBorder="1" applyAlignment="1">
      <alignment horizontal="center" vertical="center"/>
    </xf>
    <xf numFmtId="0" fontId="25" fillId="0" borderId="20" xfId="16" applyFont="1" applyBorder="1" applyAlignment="1">
      <alignment horizontal="center" vertical="center"/>
    </xf>
    <xf numFmtId="0" fontId="25" fillId="0" borderId="22" xfId="16" applyFont="1" applyBorder="1" applyAlignment="1">
      <alignment horizontal="center" vertical="center"/>
    </xf>
    <xf numFmtId="0" fontId="25" fillId="0" borderId="0" xfId="16" applyFont="1" applyAlignment="1">
      <alignment horizontal="center" wrapText="1"/>
    </xf>
    <xf numFmtId="0" fontId="25" fillId="6" borderId="30" xfId="16" applyFont="1" applyFill="1" applyBorder="1" applyAlignment="1">
      <alignment horizontal="center" vertical="center"/>
    </xf>
    <xf numFmtId="0" fontId="25" fillId="6" borderId="33" xfId="16" applyFont="1" applyFill="1" applyBorder="1" applyAlignment="1">
      <alignment horizontal="center" vertical="center"/>
    </xf>
    <xf numFmtId="0" fontId="25" fillId="6" borderId="31" xfId="16" applyFont="1" applyFill="1" applyBorder="1" applyAlignment="1">
      <alignment horizontal="center" vertical="center"/>
    </xf>
    <xf numFmtId="0" fontId="24" fillId="0" borderId="30" xfId="0" applyFont="1" applyBorder="1" applyAlignment="1">
      <alignment wrapText="1"/>
    </xf>
    <xf numFmtId="0" fontId="24" fillId="0" borderId="31" xfId="0" applyFont="1" applyBorder="1" applyAlignment="1">
      <alignment wrapText="1"/>
    </xf>
    <xf numFmtId="0" fontId="25" fillId="6" borderId="16" xfId="16" applyFont="1" applyFill="1" applyBorder="1" applyAlignment="1">
      <alignment horizontal="center"/>
    </xf>
    <xf numFmtId="0" fontId="25" fillId="0" borderId="30" xfId="16" applyFont="1" applyBorder="1" applyAlignment="1">
      <alignment horizontal="left" vertical="center" wrapText="1"/>
    </xf>
    <xf numFmtId="0" fontId="25" fillId="0" borderId="31" xfId="16" applyFont="1" applyBorder="1" applyAlignment="1">
      <alignment horizontal="left" vertical="center" wrapText="1"/>
    </xf>
    <xf numFmtId="0" fontId="24" fillId="0" borderId="30" xfId="16" applyFont="1" applyBorder="1" applyAlignment="1">
      <alignment horizontal="left" vertical="center" wrapText="1"/>
    </xf>
    <xf numFmtId="0" fontId="24" fillId="0" borderId="31" xfId="16" applyFont="1" applyBorder="1" applyAlignment="1">
      <alignment horizontal="left" vertical="center" wrapText="1"/>
    </xf>
    <xf numFmtId="0" fontId="25" fillId="0" borderId="16" xfId="16" applyFont="1" applyBorder="1" applyAlignment="1">
      <alignment horizontal="left" wrapText="1"/>
    </xf>
    <xf numFmtId="0" fontId="24" fillId="0" borderId="16" xfId="0" applyFont="1" applyBorder="1" applyAlignment="1">
      <alignment horizontal="left" wrapText="1"/>
    </xf>
    <xf numFmtId="0" fontId="25" fillId="0" borderId="30" xfId="0" applyFont="1" applyBorder="1" applyAlignment="1">
      <alignment horizontal="left" wrapText="1"/>
    </xf>
    <xf numFmtId="0" fontId="25" fillId="0" borderId="31" xfId="0" applyFont="1" applyBorder="1" applyAlignment="1">
      <alignment horizontal="left" wrapText="1"/>
    </xf>
    <xf numFmtId="0" fontId="24" fillId="0" borderId="30" xfId="16" applyFont="1" applyBorder="1" applyAlignment="1">
      <alignment horizontal="left" wrapText="1"/>
    </xf>
    <xf numFmtId="0" fontId="24" fillId="0" borderId="31" xfId="16" applyFont="1" applyBorder="1" applyAlignment="1">
      <alignment horizontal="left" wrapText="1"/>
    </xf>
    <xf numFmtId="0" fontId="24" fillId="0" borderId="16" xfId="16" applyFont="1" applyBorder="1" applyAlignment="1">
      <alignment horizontal="left"/>
    </xf>
    <xf numFmtId="177" fontId="24" fillId="0" borderId="30" xfId="16" applyNumberFormat="1" applyFont="1" applyBorder="1" applyAlignment="1">
      <alignment horizontal="center" vertical="center" wrapText="1"/>
    </xf>
    <xf numFmtId="177" fontId="24" fillId="0" borderId="31" xfId="16" applyNumberFormat="1" applyFont="1" applyBorder="1" applyAlignment="1">
      <alignment horizontal="center" vertical="center" wrapText="1"/>
    </xf>
    <xf numFmtId="0" fontId="25" fillId="7" borderId="16" xfId="16" applyFont="1" applyFill="1" applyBorder="1" applyAlignment="1">
      <alignment horizontal="right"/>
    </xf>
    <xf numFmtId="0" fontId="25" fillId="0" borderId="30" xfId="16" applyFont="1" applyBorder="1" applyAlignment="1">
      <alignment horizontal="center" vertical="center" wrapText="1"/>
    </xf>
    <xf numFmtId="0" fontId="25" fillId="0" borderId="31" xfId="16" applyFont="1" applyBorder="1" applyAlignment="1">
      <alignment horizontal="center" vertical="center" wrapText="1"/>
    </xf>
    <xf numFmtId="177" fontId="25" fillId="7" borderId="16" xfId="16" applyNumberFormat="1" applyFont="1" applyFill="1" applyBorder="1" applyAlignment="1">
      <alignment horizontal="center"/>
    </xf>
    <xf numFmtId="0" fontId="25" fillId="0" borderId="30" xfId="16" applyFont="1" applyBorder="1" applyAlignment="1">
      <alignment horizontal="left"/>
    </xf>
    <xf numFmtId="0" fontId="25" fillId="0" borderId="33" xfId="16" applyFont="1" applyBorder="1" applyAlignment="1">
      <alignment horizontal="left"/>
    </xf>
    <xf numFmtId="0" fontId="25" fillId="0" borderId="31" xfId="16" applyFont="1" applyBorder="1" applyAlignment="1">
      <alignment horizontal="left"/>
    </xf>
    <xf numFmtId="0" fontId="24" fillId="0" borderId="30" xfId="16" applyFont="1" applyBorder="1" applyAlignment="1">
      <alignment horizontal="left"/>
    </xf>
    <xf numFmtId="0" fontId="24" fillId="0" borderId="31" xfId="16" applyFont="1" applyBorder="1" applyAlignment="1">
      <alignment horizontal="left"/>
    </xf>
    <xf numFmtId="0" fontId="25" fillId="7" borderId="16" xfId="16" applyFont="1" applyFill="1" applyBorder="1" applyAlignment="1">
      <alignment horizontal="center"/>
    </xf>
    <xf numFmtId="177" fontId="25" fillId="7" borderId="30" xfId="16" applyNumberFormat="1" applyFont="1" applyFill="1" applyBorder="1" applyAlignment="1">
      <alignment horizontal="center"/>
    </xf>
    <xf numFmtId="177" fontId="25" fillId="7" borderId="31" xfId="16" applyNumberFormat="1" applyFont="1" applyFill="1" applyBorder="1" applyAlignment="1">
      <alignment horizontal="center"/>
    </xf>
    <xf numFmtId="0" fontId="25" fillId="0" borderId="16" xfId="16" applyFont="1" applyBorder="1" applyAlignment="1">
      <alignment horizontal="right"/>
    </xf>
    <xf numFmtId="177" fontId="25" fillId="0" borderId="16" xfId="19" applyNumberFormat="1" applyFont="1" applyBorder="1" applyAlignment="1">
      <alignment horizontal="center"/>
    </xf>
    <xf numFmtId="177" fontId="25" fillId="0" borderId="16" xfId="16" applyNumberFormat="1" applyFont="1" applyBorder="1" applyAlignment="1">
      <alignment horizontal="center"/>
    </xf>
    <xf numFmtId="0" fontId="25" fillId="0" borderId="0" xfId="16" applyFont="1" applyAlignment="1">
      <alignment horizontal="center"/>
    </xf>
    <xf numFmtId="0" fontId="24" fillId="0" borderId="0" xfId="16" applyFont="1" applyAlignment="1">
      <alignment horizontal="center"/>
    </xf>
    <xf numFmtId="0" fontId="36" fillId="0" borderId="19" xfId="0" applyFont="1" applyBorder="1" applyAlignment="1">
      <alignment horizontal="center" vertical="center"/>
    </xf>
    <xf numFmtId="0" fontId="36" fillId="0" borderId="48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 wrapText="1"/>
    </xf>
    <xf numFmtId="0" fontId="23" fillId="4" borderId="1" xfId="2" applyFont="1" applyFill="1" applyBorder="1" applyAlignment="1">
      <alignment horizontal="center" vertical="center" wrapText="1"/>
    </xf>
    <xf numFmtId="0" fontId="23" fillId="4" borderId="2" xfId="2" applyFont="1" applyFill="1" applyBorder="1" applyAlignment="1">
      <alignment horizontal="center" vertical="center" wrapText="1"/>
    </xf>
    <xf numFmtId="0" fontId="23" fillId="4" borderId="3" xfId="2" applyFont="1" applyFill="1" applyBorder="1" applyAlignment="1">
      <alignment horizontal="center" vertical="center" wrapText="1"/>
    </xf>
    <xf numFmtId="0" fontId="23" fillId="4" borderId="4" xfId="2" applyFont="1" applyFill="1" applyBorder="1" applyAlignment="1">
      <alignment horizontal="center" vertical="center" wrapText="1"/>
    </xf>
    <xf numFmtId="0" fontId="23" fillId="4" borderId="0" xfId="2" applyFont="1" applyFill="1" applyAlignment="1">
      <alignment horizontal="center" vertical="center" wrapText="1"/>
    </xf>
    <xf numFmtId="0" fontId="23" fillId="4" borderId="5" xfId="2" applyFont="1" applyFill="1" applyBorder="1" applyAlignment="1">
      <alignment horizontal="center" vertical="center" wrapText="1"/>
    </xf>
    <xf numFmtId="0" fontId="23" fillId="4" borderId="9" xfId="2" applyFont="1" applyFill="1" applyBorder="1" applyAlignment="1">
      <alignment horizontal="center" vertical="center" wrapText="1"/>
    </xf>
    <xf numFmtId="0" fontId="23" fillId="4" borderId="10" xfId="2" applyFont="1" applyFill="1" applyBorder="1" applyAlignment="1">
      <alignment horizontal="center" vertical="center" wrapText="1"/>
    </xf>
    <xf numFmtId="0" fontId="23" fillId="4" borderId="11" xfId="2" applyFont="1" applyFill="1" applyBorder="1" applyAlignment="1">
      <alignment horizontal="center" vertical="center" wrapText="1"/>
    </xf>
    <xf numFmtId="0" fontId="27" fillId="4" borderId="0" xfId="2" applyFont="1" applyFill="1" applyAlignment="1">
      <alignment horizontal="center" vertical="center"/>
    </xf>
    <xf numFmtId="4" fontId="44" fillId="4" borderId="30" xfId="2" applyNumberFormat="1" applyFont="1" applyFill="1" applyBorder="1" applyAlignment="1">
      <alignment horizontal="center" wrapText="1"/>
    </xf>
    <xf numFmtId="4" fontId="44" fillId="4" borderId="33" xfId="2" applyNumberFormat="1" applyFont="1" applyFill="1" applyBorder="1" applyAlignment="1">
      <alignment horizontal="center" wrapText="1"/>
    </xf>
    <xf numFmtId="4" fontId="44" fillId="4" borderId="31" xfId="2" applyNumberFormat="1" applyFont="1" applyFill="1" applyBorder="1" applyAlignment="1">
      <alignment horizontal="center" wrapText="1"/>
    </xf>
    <xf numFmtId="0" fontId="23" fillId="4" borderId="30" xfId="2" applyFont="1" applyFill="1" applyBorder="1" applyAlignment="1">
      <alignment horizontal="left" vertical="center"/>
    </xf>
    <xf numFmtId="0" fontId="23" fillId="4" borderId="31" xfId="2" applyFont="1" applyFill="1" applyBorder="1" applyAlignment="1">
      <alignment horizontal="left" vertical="center"/>
    </xf>
    <xf numFmtId="2" fontId="23" fillId="0" borderId="30" xfId="2" applyNumberFormat="1" applyFont="1" applyBorder="1" applyAlignment="1">
      <alignment horizontal="left"/>
    </xf>
    <xf numFmtId="2" fontId="23" fillId="0" borderId="31" xfId="2" applyNumberFormat="1" applyFont="1" applyBorder="1" applyAlignment="1">
      <alignment horizontal="left"/>
    </xf>
    <xf numFmtId="0" fontId="23" fillId="4" borderId="26" xfId="2" applyFont="1" applyFill="1" applyBorder="1" applyAlignment="1">
      <alignment horizontal="left" vertical="center"/>
    </xf>
    <xf numFmtId="0" fontId="23" fillId="4" borderId="38" xfId="2" applyFont="1" applyFill="1" applyBorder="1" applyAlignment="1">
      <alignment horizontal="left" vertical="center"/>
    </xf>
    <xf numFmtId="0" fontId="25" fillId="0" borderId="21" xfId="0" applyFont="1" applyBorder="1" applyAlignment="1">
      <alignment horizontal="center" vertical="center"/>
    </xf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36" fillId="0" borderId="13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/>
    </xf>
    <xf numFmtId="0" fontId="43" fillId="9" borderId="6" xfId="2" applyFont="1" applyFill="1" applyBorder="1" applyAlignment="1">
      <alignment horizontal="center" wrapText="1"/>
    </xf>
    <xf numFmtId="0" fontId="43" fillId="9" borderId="7" xfId="2" applyFont="1" applyFill="1" applyBorder="1" applyAlignment="1">
      <alignment horizontal="center" wrapText="1"/>
    </xf>
    <xf numFmtId="0" fontId="43" fillId="9" borderId="8" xfId="2" applyFont="1" applyFill="1" applyBorder="1" applyAlignment="1">
      <alignment horizontal="center" wrapText="1"/>
    </xf>
    <xf numFmtId="0" fontId="37" fillId="0" borderId="48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/>
    </xf>
    <xf numFmtId="0" fontId="42" fillId="0" borderId="7" xfId="0" applyFont="1" applyBorder="1" applyAlignment="1">
      <alignment horizontal="center"/>
    </xf>
    <xf numFmtId="0" fontId="42" fillId="0" borderId="8" xfId="0" applyFont="1" applyBorder="1" applyAlignment="1">
      <alignment horizontal="center"/>
    </xf>
  </cellXfs>
  <cellStyles count="33">
    <cellStyle name="Millares" xfId="13" builtinId="3"/>
    <cellStyle name="Millares 2" xfId="4"/>
    <cellStyle name="Millares 2 2" xfId="6"/>
    <cellStyle name="Millares 2 3" xfId="26"/>
    <cellStyle name="Millares 3" xfId="23"/>
    <cellStyle name="Millares 3 2" xfId="31"/>
    <cellStyle name="Millares 4" xfId="19"/>
    <cellStyle name="Millares 4 2" xfId="29"/>
    <cellStyle name="Moneda" xfId="14" builtinId="4"/>
    <cellStyle name="Moneda [0]" xfId="1" builtinId="7"/>
    <cellStyle name="Moneda [0] 2" xfId="11"/>
    <cellStyle name="Moneda [0] 3" xfId="22"/>
    <cellStyle name="Moneda [0] 3 2" xfId="30"/>
    <cellStyle name="Moneda 2" xfId="3"/>
    <cellStyle name="Moneda 2 2" xfId="18"/>
    <cellStyle name="Moneda 2 2 2" xfId="28"/>
    <cellStyle name="Moneda 2 5" xfId="25"/>
    <cellStyle name="Moneda 3" xfId="7"/>
    <cellStyle name="Moneda 4" xfId="12"/>
    <cellStyle name="Moneda 5" xfId="17"/>
    <cellStyle name="Moneda 5 2" xfId="27"/>
    <cellStyle name="Moneda 6" xfId="24"/>
    <cellStyle name="Moneda 6 2" xfId="32"/>
    <cellStyle name="Normal" xfId="0" builtinId="0"/>
    <cellStyle name="Normal 10" xfId="8"/>
    <cellStyle name="Normal 2" xfId="2"/>
    <cellStyle name="Normal 2 4" xfId="15"/>
    <cellStyle name="Normal 3" xfId="5"/>
    <cellStyle name="Normal 3 2" xfId="9"/>
    <cellStyle name="Normal 4" xfId="16"/>
    <cellStyle name="Porcentaje" xfId="21" builtinId="5"/>
    <cellStyle name="Porcentaje 2" xfId="20"/>
    <cellStyle name="Porcentaje 2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76201</xdr:rowOff>
    </xdr:from>
    <xdr:to>
      <xdr:col>20</xdr:col>
      <xdr:colOff>1447800</xdr:colOff>
      <xdr:row>4</xdr:row>
      <xdr:rowOff>117765</xdr:rowOff>
    </xdr:to>
    <xdr:pic>
      <xdr:nvPicPr>
        <xdr:cNvPr id="2" name="1 Imagen" descr="C:\Users\Despacho\Downloads\LOGO ALCALDIA BEYER PEÑA 2020-2023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76201"/>
          <a:ext cx="1304925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35</xdr:col>
      <xdr:colOff>228600</xdr:colOff>
      <xdr:row>2</xdr:row>
      <xdr:rowOff>114300</xdr:rowOff>
    </xdr:from>
    <xdr:to>
      <xdr:col>36</xdr:col>
      <xdr:colOff>681718</xdr:colOff>
      <xdr:row>5</xdr:row>
      <xdr:rowOff>140277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28600" y="485775"/>
          <a:ext cx="1215118" cy="600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83821</xdr:colOff>
      <xdr:row>0</xdr:row>
      <xdr:rowOff>60960</xdr:rowOff>
    </xdr:from>
    <xdr:to>
      <xdr:col>1</xdr:col>
      <xdr:colOff>754381</xdr:colOff>
      <xdr:row>5</xdr:row>
      <xdr:rowOff>154549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1" y="60960"/>
          <a:ext cx="1104900" cy="1007989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0</xdr:row>
      <xdr:rowOff>137160</xdr:rowOff>
    </xdr:from>
    <xdr:to>
      <xdr:col>6</xdr:col>
      <xdr:colOff>1379677</xdr:colOff>
      <xdr:row>5</xdr:row>
      <xdr:rowOff>137160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57060" y="137160"/>
          <a:ext cx="1326337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51435</xdr:rowOff>
    </xdr:from>
    <xdr:to>
      <xdr:col>1</xdr:col>
      <xdr:colOff>1557655</xdr:colOff>
      <xdr:row>5</xdr:row>
      <xdr:rowOff>170424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51435"/>
          <a:ext cx="1109980" cy="1033389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0</xdr:row>
      <xdr:rowOff>121920</xdr:rowOff>
    </xdr:from>
    <xdr:to>
      <xdr:col>9</xdr:col>
      <xdr:colOff>928249</xdr:colOff>
      <xdr:row>6</xdr:row>
      <xdr:rowOff>45720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9037320" y="121920"/>
          <a:ext cx="1492129" cy="1028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332211</xdr:colOff>
      <xdr:row>519</xdr:row>
      <xdr:rowOff>102742</xdr:rowOff>
    </xdr:from>
    <xdr:to>
      <xdr:col>1</xdr:col>
      <xdr:colOff>943800</xdr:colOff>
      <xdr:row>524</xdr:row>
      <xdr:rowOff>76921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211" y="87141978"/>
          <a:ext cx="1185229" cy="1181392"/>
        </a:xfrm>
        <a:prstGeom prst="rect">
          <a:avLst/>
        </a:prstGeom>
      </xdr:spPr>
    </xdr:pic>
    <xdr:clientData/>
  </xdr:twoCellAnchor>
  <xdr:oneCellAnchor>
    <xdr:from>
      <xdr:col>0</xdr:col>
      <xdr:colOff>141797</xdr:colOff>
      <xdr:row>461</xdr:row>
      <xdr:rowOff>23522</xdr:rowOff>
    </xdr:from>
    <xdr:ext cx="1186071" cy="1179084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195137</xdr:colOff>
      <xdr:row>344</xdr:row>
      <xdr:rowOff>54002</xdr:rowOff>
    </xdr:from>
    <xdr:ext cx="1186071" cy="1179084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137" y="1207836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225618</xdr:colOff>
      <xdr:row>574</xdr:row>
      <xdr:rowOff>98397</xdr:rowOff>
    </xdr:from>
    <xdr:ext cx="1186071" cy="1179084"/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18" y="98236377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210378</xdr:colOff>
      <xdr:row>629</xdr:row>
      <xdr:rowOff>113637</xdr:rowOff>
    </xdr:from>
    <xdr:ext cx="1186071" cy="1179084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378" y="110237877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141797</xdr:colOff>
      <xdr:row>0</xdr:row>
      <xdr:rowOff>23522</xdr:rowOff>
    </xdr:from>
    <xdr:ext cx="1186071" cy="1179084"/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141797</xdr:colOff>
      <xdr:row>404</xdr:row>
      <xdr:rowOff>23522</xdr:rowOff>
    </xdr:from>
    <xdr:ext cx="1186071" cy="1179084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twoCellAnchor editAs="oneCell">
    <xdr:from>
      <xdr:col>0</xdr:col>
      <xdr:colOff>178241</xdr:colOff>
      <xdr:row>684</xdr:row>
      <xdr:rowOff>123245</xdr:rowOff>
    </xdr:from>
    <xdr:to>
      <xdr:col>1</xdr:col>
      <xdr:colOff>789830</xdr:colOff>
      <xdr:row>689</xdr:row>
      <xdr:rowOff>242508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241" y="61090865"/>
          <a:ext cx="1183089" cy="1185378"/>
        </a:xfrm>
        <a:prstGeom prst="rect">
          <a:avLst/>
        </a:prstGeom>
      </xdr:spPr>
    </xdr:pic>
    <xdr:clientData/>
  </xdr:twoCellAnchor>
  <xdr:twoCellAnchor editAs="oneCell">
    <xdr:from>
      <xdr:col>0</xdr:col>
      <xdr:colOff>164658</xdr:colOff>
      <xdr:row>740</xdr:row>
      <xdr:rowOff>75537</xdr:rowOff>
    </xdr:from>
    <xdr:to>
      <xdr:col>1</xdr:col>
      <xdr:colOff>776247</xdr:colOff>
      <xdr:row>745</xdr:row>
      <xdr:rowOff>192461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73524717"/>
          <a:ext cx="1183089" cy="1183724"/>
        </a:xfrm>
        <a:prstGeom prst="rect">
          <a:avLst/>
        </a:prstGeom>
      </xdr:spPr>
    </xdr:pic>
    <xdr:clientData/>
  </xdr:twoCellAnchor>
  <xdr:oneCellAnchor>
    <xdr:from>
      <xdr:col>0</xdr:col>
      <xdr:colOff>187518</xdr:colOff>
      <xdr:row>799</xdr:row>
      <xdr:rowOff>90777</xdr:rowOff>
    </xdr:from>
    <xdr:ext cx="1186071" cy="1179084"/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518" y="86486337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1027</xdr:row>
      <xdr:rowOff>75537</xdr:rowOff>
    </xdr:from>
    <xdr:ext cx="1185229" cy="1324137"/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210096436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1086</xdr:row>
      <xdr:rowOff>75537</xdr:rowOff>
    </xdr:from>
    <xdr:ext cx="1185229" cy="1324137"/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222648031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141797</xdr:colOff>
      <xdr:row>1199</xdr:row>
      <xdr:rowOff>23522</xdr:rowOff>
    </xdr:from>
    <xdr:ext cx="1186071" cy="1179084"/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157037</xdr:colOff>
      <xdr:row>1257</xdr:row>
      <xdr:rowOff>38762</xdr:rowOff>
    </xdr:from>
    <xdr:ext cx="1186071" cy="1179084"/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037" y="2408748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1314</xdr:row>
      <xdr:rowOff>54002</xdr:rowOff>
    </xdr:from>
    <xdr:ext cx="1185229" cy="1150912"/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284502609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1430</xdr:row>
      <xdr:rowOff>54002</xdr:rowOff>
    </xdr:from>
    <xdr:ext cx="1185229" cy="1150912"/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296771665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1545</xdr:row>
      <xdr:rowOff>54002</xdr:rowOff>
    </xdr:from>
    <xdr:ext cx="1185229" cy="1150912"/>
    <xdr:pic>
      <xdr:nvPicPr>
        <xdr:cNvPr id="69" name="Imagen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21737867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239730</xdr:colOff>
      <xdr:row>857</xdr:row>
      <xdr:rowOff>59932</xdr:rowOff>
    </xdr:from>
    <xdr:ext cx="1185229" cy="1324137"/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30" y="172571595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115</xdr:row>
      <xdr:rowOff>54002</xdr:rowOff>
    </xdr:from>
    <xdr:ext cx="1185229" cy="1181392"/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72118654"/>
          <a:ext cx="1185229" cy="1181392"/>
        </a:xfrm>
        <a:prstGeom prst="rect">
          <a:avLst/>
        </a:prstGeom>
      </xdr:spPr>
    </xdr:pic>
    <xdr:clientData/>
  </xdr:oneCellAnchor>
  <xdr:oneCellAnchor>
    <xdr:from>
      <xdr:col>0</xdr:col>
      <xdr:colOff>178241</xdr:colOff>
      <xdr:row>173</xdr:row>
      <xdr:rowOff>123245</xdr:rowOff>
    </xdr:from>
    <xdr:ext cx="1185229" cy="1183923"/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241" y="85432998"/>
          <a:ext cx="1185229" cy="1183923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229</xdr:row>
      <xdr:rowOff>54002</xdr:rowOff>
    </xdr:from>
    <xdr:ext cx="1185229" cy="1181392"/>
    <xdr:pic>
      <xdr:nvPicPr>
        <xdr:cNvPr id="75" name="Imagen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86117193"/>
          <a:ext cx="1185229" cy="1181392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1372</xdr:row>
      <xdr:rowOff>54002</xdr:rowOff>
    </xdr:from>
    <xdr:ext cx="1185229" cy="1150912"/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285607081"/>
          <a:ext cx="1185229" cy="1150912"/>
        </a:xfrm>
        <a:prstGeom prst="rect">
          <a:avLst/>
        </a:prstGeom>
      </xdr:spPr>
    </xdr:pic>
    <xdr:clientData/>
  </xdr:oneCellAnchor>
  <xdr:twoCellAnchor editAs="oneCell">
    <xdr:from>
      <xdr:col>6</xdr:col>
      <xdr:colOff>94180</xdr:colOff>
      <xdr:row>0</xdr:row>
      <xdr:rowOff>85617</xdr:rowOff>
    </xdr:from>
    <xdr:to>
      <xdr:col>7</xdr:col>
      <xdr:colOff>743695</xdr:colOff>
      <xdr:row>5</xdr:row>
      <xdr:rowOff>111302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84023" y="85617"/>
          <a:ext cx="1539942" cy="106166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115</xdr:row>
      <xdr:rowOff>0</xdr:rowOff>
    </xdr:from>
    <xdr:to>
      <xdr:col>7</xdr:col>
      <xdr:colOff>835797</xdr:colOff>
      <xdr:row>120</xdr:row>
      <xdr:rowOff>154111</xdr:rowOff>
    </xdr:to>
    <xdr:pic>
      <xdr:nvPicPr>
        <xdr:cNvPr id="12" name="Imagen 11" descr="logo PDET descarga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2251933"/>
          <a:ext cx="1726224" cy="119008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924673</xdr:colOff>
      <xdr:row>173</xdr:row>
      <xdr:rowOff>68495</xdr:rowOff>
    </xdr:from>
    <xdr:to>
      <xdr:col>7</xdr:col>
      <xdr:colOff>881736</xdr:colOff>
      <xdr:row>178</xdr:row>
      <xdr:rowOff>145551</xdr:rowOff>
    </xdr:to>
    <xdr:pic>
      <xdr:nvPicPr>
        <xdr:cNvPr id="13" name="Imagen 12" descr="logo PDET descarga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2" y="24794967"/>
          <a:ext cx="1800739" cy="124146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924673</xdr:colOff>
      <xdr:row>229</xdr:row>
      <xdr:rowOff>0</xdr:rowOff>
    </xdr:from>
    <xdr:to>
      <xdr:col>7</xdr:col>
      <xdr:colOff>873053</xdr:colOff>
      <xdr:row>234</xdr:row>
      <xdr:rowOff>179797</xdr:rowOff>
    </xdr:to>
    <xdr:pic>
      <xdr:nvPicPr>
        <xdr:cNvPr id="14" name="Imagen 13" descr="logo PDET descarga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2" y="37141079"/>
          <a:ext cx="1763481" cy="1215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8562</xdr:colOff>
      <xdr:row>344</xdr:row>
      <xdr:rowOff>25685</xdr:rowOff>
    </xdr:from>
    <xdr:to>
      <xdr:col>7</xdr:col>
      <xdr:colOff>831941</xdr:colOff>
      <xdr:row>349</xdr:row>
      <xdr:rowOff>171235</xdr:rowOff>
    </xdr:to>
    <xdr:pic>
      <xdr:nvPicPr>
        <xdr:cNvPr id="19" name="Imagen 18" descr="logo PDET descarga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98405" y="49427258"/>
          <a:ext cx="1713806" cy="118152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404</xdr:row>
      <xdr:rowOff>42809</xdr:rowOff>
    </xdr:from>
    <xdr:to>
      <xdr:col>7</xdr:col>
      <xdr:colOff>881736</xdr:colOff>
      <xdr:row>410</xdr:row>
      <xdr:rowOff>34247</xdr:rowOff>
    </xdr:to>
    <xdr:pic>
      <xdr:nvPicPr>
        <xdr:cNvPr id="20" name="Imagen 19" descr="logo PDET descarga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62329888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461</xdr:row>
      <xdr:rowOff>0</xdr:rowOff>
    </xdr:from>
    <xdr:to>
      <xdr:col>7</xdr:col>
      <xdr:colOff>881736</xdr:colOff>
      <xdr:row>466</xdr:row>
      <xdr:rowOff>205482</xdr:rowOff>
    </xdr:to>
    <xdr:pic>
      <xdr:nvPicPr>
        <xdr:cNvPr id="80" name="Imagen 79" descr="logo PDET descarga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7434209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519</xdr:row>
      <xdr:rowOff>0</xdr:rowOff>
    </xdr:from>
    <xdr:to>
      <xdr:col>7</xdr:col>
      <xdr:colOff>881736</xdr:colOff>
      <xdr:row>524</xdr:row>
      <xdr:rowOff>34247</xdr:rowOff>
    </xdr:to>
    <xdr:pic>
      <xdr:nvPicPr>
        <xdr:cNvPr id="81" name="Imagen 80" descr="logo PDET descarga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86825191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574</xdr:row>
      <xdr:rowOff>0</xdr:rowOff>
    </xdr:from>
    <xdr:to>
      <xdr:col>7</xdr:col>
      <xdr:colOff>881736</xdr:colOff>
      <xdr:row>579</xdr:row>
      <xdr:rowOff>34246</xdr:rowOff>
    </xdr:to>
    <xdr:pic>
      <xdr:nvPicPr>
        <xdr:cNvPr id="82" name="Imagen 81" descr="logo PDET descarga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98845955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629</xdr:row>
      <xdr:rowOff>0</xdr:rowOff>
    </xdr:from>
    <xdr:to>
      <xdr:col>7</xdr:col>
      <xdr:colOff>881736</xdr:colOff>
      <xdr:row>634</xdr:row>
      <xdr:rowOff>34246</xdr:rowOff>
    </xdr:to>
    <xdr:pic>
      <xdr:nvPicPr>
        <xdr:cNvPr id="83" name="Imagen 82" descr="logo PDET descarga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10866719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684</xdr:row>
      <xdr:rowOff>0</xdr:rowOff>
    </xdr:from>
    <xdr:to>
      <xdr:col>7</xdr:col>
      <xdr:colOff>881736</xdr:colOff>
      <xdr:row>689</xdr:row>
      <xdr:rowOff>77055</xdr:rowOff>
    </xdr:to>
    <xdr:pic>
      <xdr:nvPicPr>
        <xdr:cNvPr id="84" name="Imagen 83" descr="logo PDET descarga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22887483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740</xdr:row>
      <xdr:rowOff>0</xdr:rowOff>
    </xdr:from>
    <xdr:to>
      <xdr:col>7</xdr:col>
      <xdr:colOff>881736</xdr:colOff>
      <xdr:row>745</xdr:row>
      <xdr:rowOff>34247</xdr:rowOff>
    </xdr:to>
    <xdr:pic>
      <xdr:nvPicPr>
        <xdr:cNvPr id="86" name="Imagen 85" descr="logo PDET descarga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35704494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799</xdr:row>
      <xdr:rowOff>0</xdr:rowOff>
    </xdr:from>
    <xdr:to>
      <xdr:col>7</xdr:col>
      <xdr:colOff>881736</xdr:colOff>
      <xdr:row>804</xdr:row>
      <xdr:rowOff>34247</xdr:rowOff>
    </xdr:to>
    <xdr:pic>
      <xdr:nvPicPr>
        <xdr:cNvPr id="87" name="Imagen 86" descr="logo PDET descarga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48898225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857</xdr:row>
      <xdr:rowOff>0</xdr:rowOff>
    </xdr:from>
    <xdr:to>
      <xdr:col>7</xdr:col>
      <xdr:colOff>881736</xdr:colOff>
      <xdr:row>862</xdr:row>
      <xdr:rowOff>34247</xdr:rowOff>
    </xdr:to>
    <xdr:pic>
      <xdr:nvPicPr>
        <xdr:cNvPr id="88" name="Imagen 87" descr="logo PDET descarga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61561124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1027</xdr:row>
      <xdr:rowOff>0</xdr:rowOff>
    </xdr:from>
    <xdr:to>
      <xdr:col>7</xdr:col>
      <xdr:colOff>881736</xdr:colOff>
      <xdr:row>1031</xdr:row>
      <xdr:rowOff>154113</xdr:rowOff>
    </xdr:to>
    <xdr:pic>
      <xdr:nvPicPr>
        <xdr:cNvPr id="92" name="Imagen 91" descr="logo PDET descarga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1140791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1086</xdr:row>
      <xdr:rowOff>0</xdr:rowOff>
    </xdr:from>
    <xdr:to>
      <xdr:col>7</xdr:col>
      <xdr:colOff>881736</xdr:colOff>
      <xdr:row>1091</xdr:row>
      <xdr:rowOff>34247</xdr:rowOff>
    </xdr:to>
    <xdr:pic>
      <xdr:nvPicPr>
        <xdr:cNvPr id="93" name="Imagen 92" descr="logo PDET descarga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23959506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1199</xdr:row>
      <xdr:rowOff>0</xdr:rowOff>
    </xdr:from>
    <xdr:to>
      <xdr:col>7</xdr:col>
      <xdr:colOff>881736</xdr:colOff>
      <xdr:row>1204</xdr:row>
      <xdr:rowOff>205481</xdr:rowOff>
    </xdr:to>
    <xdr:pic>
      <xdr:nvPicPr>
        <xdr:cNvPr id="95" name="Imagen 94" descr="logo PDET descarga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4874591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1257</xdr:row>
      <xdr:rowOff>0</xdr:rowOff>
    </xdr:from>
    <xdr:to>
      <xdr:col>7</xdr:col>
      <xdr:colOff>881736</xdr:colOff>
      <xdr:row>1262</xdr:row>
      <xdr:rowOff>205481</xdr:rowOff>
    </xdr:to>
    <xdr:pic>
      <xdr:nvPicPr>
        <xdr:cNvPr id="96" name="Imagen 95" descr="logo PDET descarga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61229011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1314</xdr:row>
      <xdr:rowOff>0</xdr:rowOff>
    </xdr:from>
    <xdr:to>
      <xdr:col>7</xdr:col>
      <xdr:colOff>881736</xdr:colOff>
      <xdr:row>1319</xdr:row>
      <xdr:rowOff>205484</xdr:rowOff>
    </xdr:to>
    <xdr:pic>
      <xdr:nvPicPr>
        <xdr:cNvPr id="98" name="Imagen 97" descr="logo PDET descarga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85553079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1372</xdr:row>
      <xdr:rowOff>0</xdr:rowOff>
    </xdr:from>
    <xdr:to>
      <xdr:col>7</xdr:col>
      <xdr:colOff>881736</xdr:colOff>
      <xdr:row>1377</xdr:row>
      <xdr:rowOff>205482</xdr:rowOff>
    </xdr:to>
    <xdr:pic>
      <xdr:nvPicPr>
        <xdr:cNvPr id="99" name="Imagen 98" descr="logo PDET descarga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98215978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1430</xdr:row>
      <xdr:rowOff>0</xdr:rowOff>
    </xdr:from>
    <xdr:to>
      <xdr:col>7</xdr:col>
      <xdr:colOff>881736</xdr:colOff>
      <xdr:row>1435</xdr:row>
      <xdr:rowOff>205482</xdr:rowOff>
    </xdr:to>
    <xdr:pic>
      <xdr:nvPicPr>
        <xdr:cNvPr id="100" name="Imagen 99" descr="logo PDET descarga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311306966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1545</xdr:row>
      <xdr:rowOff>0</xdr:rowOff>
    </xdr:from>
    <xdr:to>
      <xdr:col>7</xdr:col>
      <xdr:colOff>881736</xdr:colOff>
      <xdr:row>1550</xdr:row>
      <xdr:rowOff>205483</xdr:rowOff>
    </xdr:to>
    <xdr:pic>
      <xdr:nvPicPr>
        <xdr:cNvPr id="102" name="Imagen 101" descr="logo PDET descarga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336778315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179798</xdr:colOff>
      <xdr:row>915</xdr:row>
      <xdr:rowOff>25686</xdr:rowOff>
    </xdr:from>
    <xdr:ext cx="1185229" cy="1324137"/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798" y="173586426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205483</xdr:colOff>
      <xdr:row>970</xdr:row>
      <xdr:rowOff>51370</xdr:rowOff>
    </xdr:from>
    <xdr:ext cx="1185229" cy="1324137"/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83" y="185880310"/>
          <a:ext cx="1185229" cy="1324137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915</xdr:row>
      <xdr:rowOff>0</xdr:rowOff>
    </xdr:from>
    <xdr:to>
      <xdr:col>7</xdr:col>
      <xdr:colOff>881736</xdr:colOff>
      <xdr:row>920</xdr:row>
      <xdr:rowOff>176117</xdr:rowOff>
    </xdr:to>
    <xdr:pic>
      <xdr:nvPicPr>
        <xdr:cNvPr id="79" name="Imagen 78" descr="logo PDET descarga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173560740"/>
          <a:ext cx="1801851" cy="12429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970</xdr:row>
      <xdr:rowOff>0</xdr:rowOff>
    </xdr:from>
    <xdr:to>
      <xdr:col>7</xdr:col>
      <xdr:colOff>881736</xdr:colOff>
      <xdr:row>975</xdr:row>
      <xdr:rowOff>171406</xdr:rowOff>
    </xdr:to>
    <xdr:pic>
      <xdr:nvPicPr>
        <xdr:cNvPr id="85" name="Imagen 84" descr="logo PDET descarga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185828940"/>
          <a:ext cx="1801851" cy="123820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263717</xdr:colOff>
      <xdr:row>1142</xdr:row>
      <xdr:rowOff>54002</xdr:rowOff>
    </xdr:from>
    <xdr:ext cx="1185229" cy="1150912"/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60633002"/>
          <a:ext cx="1185229" cy="1150912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1142</xdr:row>
      <xdr:rowOff>0</xdr:rowOff>
    </xdr:from>
    <xdr:to>
      <xdr:col>7</xdr:col>
      <xdr:colOff>881736</xdr:colOff>
      <xdr:row>1147</xdr:row>
      <xdr:rowOff>175000</xdr:rowOff>
    </xdr:to>
    <xdr:pic>
      <xdr:nvPicPr>
        <xdr:cNvPr id="70" name="Imagen 69" descr="logo PDET descarga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86500" y="60579000"/>
          <a:ext cx="1748511" cy="12227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263717</xdr:colOff>
      <xdr:row>1487</xdr:row>
      <xdr:rowOff>54002</xdr:rowOff>
    </xdr:from>
    <xdr:ext cx="1185229" cy="1150912"/>
    <xdr:pic>
      <xdr:nvPicPr>
        <xdr:cNvPr id="74" name="Imagen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00048693"/>
          <a:ext cx="1185229" cy="1150912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1487</xdr:row>
      <xdr:rowOff>0</xdr:rowOff>
    </xdr:from>
    <xdr:ext cx="1748618" cy="1275706"/>
    <xdr:pic>
      <xdr:nvPicPr>
        <xdr:cNvPr id="76" name="Imagen 75" descr="logo PDET descarga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82219" y="299994691"/>
          <a:ext cx="1748618" cy="127570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263717</xdr:colOff>
      <xdr:row>1603</xdr:row>
      <xdr:rowOff>54002</xdr:rowOff>
    </xdr:from>
    <xdr:ext cx="1185229" cy="1150912"/>
    <xdr:pic>
      <xdr:nvPicPr>
        <xdr:cNvPr id="2" name="Imagen 1">
          <a:extLst>
            <a:ext uri="{FF2B5EF4-FFF2-40B4-BE49-F238E27FC236}">
              <a16:creationId xmlns:a16="http://schemas.microsoft.com/office/drawing/2014/main" id="{1A6A2FAD-FDA4-4C4B-9787-65496E0BD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23690642"/>
          <a:ext cx="1185229" cy="1150912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1603</xdr:row>
      <xdr:rowOff>0</xdr:rowOff>
    </xdr:from>
    <xdr:to>
      <xdr:col>7</xdr:col>
      <xdr:colOff>881736</xdr:colOff>
      <xdr:row>1608</xdr:row>
      <xdr:rowOff>175001</xdr:rowOff>
    </xdr:to>
    <xdr:pic>
      <xdr:nvPicPr>
        <xdr:cNvPr id="8" name="Imagen 7" descr="logo PDET descarga">
          <a:extLst>
            <a:ext uri="{FF2B5EF4-FFF2-40B4-BE49-F238E27FC236}">
              <a16:creationId xmlns:a16="http://schemas.microsoft.com/office/drawing/2014/main" id="{BA97AC9A-2E83-4FF5-A33B-EA3E368403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323636640"/>
          <a:ext cx="1773276" cy="124180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263717</xdr:colOff>
      <xdr:row>1660</xdr:row>
      <xdr:rowOff>54002</xdr:rowOff>
    </xdr:from>
    <xdr:ext cx="1185229" cy="1150912"/>
    <xdr:pic>
      <xdr:nvPicPr>
        <xdr:cNvPr id="11" name="Imagen 10">
          <a:extLst>
            <a:ext uri="{FF2B5EF4-FFF2-40B4-BE49-F238E27FC236}">
              <a16:creationId xmlns:a16="http://schemas.microsoft.com/office/drawing/2014/main" id="{A21B155C-80F5-4699-BFBB-6C3DBB5BD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48996662"/>
          <a:ext cx="1185229" cy="1150912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1660</xdr:row>
      <xdr:rowOff>0</xdr:rowOff>
    </xdr:from>
    <xdr:to>
      <xdr:col>7</xdr:col>
      <xdr:colOff>881736</xdr:colOff>
      <xdr:row>1665</xdr:row>
      <xdr:rowOff>175003</xdr:rowOff>
    </xdr:to>
    <xdr:pic>
      <xdr:nvPicPr>
        <xdr:cNvPr id="15" name="Imagen 14" descr="logo PDET descarga">
          <a:extLst>
            <a:ext uri="{FF2B5EF4-FFF2-40B4-BE49-F238E27FC236}">
              <a16:creationId xmlns:a16="http://schemas.microsoft.com/office/drawing/2014/main" id="{99BAEB54-2CE8-4CD8-B261-3ED90B847A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348942660"/>
          <a:ext cx="1773276" cy="124180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263717</xdr:colOff>
      <xdr:row>286</xdr:row>
      <xdr:rowOff>54002</xdr:rowOff>
    </xdr:from>
    <xdr:ext cx="1185229" cy="1181392"/>
    <xdr:pic>
      <xdr:nvPicPr>
        <xdr:cNvPr id="3" name="Imagen 2">
          <a:extLst>
            <a:ext uri="{FF2B5EF4-FFF2-40B4-BE49-F238E27FC236}">
              <a16:creationId xmlns:a16="http://schemas.microsoft.com/office/drawing/2014/main" id="{8D4BB7CC-0882-47F9-A517-C3933008D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7195081"/>
          <a:ext cx="1185229" cy="1181392"/>
        </a:xfrm>
        <a:prstGeom prst="rect">
          <a:avLst/>
        </a:prstGeom>
      </xdr:spPr>
    </xdr:pic>
    <xdr:clientData/>
  </xdr:oneCellAnchor>
  <xdr:oneCellAnchor>
    <xdr:from>
      <xdr:col>5</xdr:col>
      <xdr:colOff>924673</xdr:colOff>
      <xdr:row>286</xdr:row>
      <xdr:rowOff>0</xdr:rowOff>
    </xdr:from>
    <xdr:ext cx="1763481" cy="1215775"/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59A9C445-849E-407C-8681-3CF6B33F5E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2" y="37141079"/>
          <a:ext cx="1763481" cy="1215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141797</xdr:colOff>
      <xdr:row>57</xdr:row>
      <xdr:rowOff>23522</xdr:rowOff>
    </xdr:from>
    <xdr:ext cx="1186071" cy="1179084"/>
    <xdr:pic>
      <xdr:nvPicPr>
        <xdr:cNvPr id="18" name="Imagen 17">
          <a:extLst>
            <a:ext uri="{FF2B5EF4-FFF2-40B4-BE49-F238E27FC236}">
              <a16:creationId xmlns:a16="http://schemas.microsoft.com/office/drawing/2014/main" id="{A024C095-E965-435F-BCE0-7E47152B5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oneCellAnchor>
    <xdr:from>
      <xdr:col>6</xdr:col>
      <xdr:colOff>94180</xdr:colOff>
      <xdr:row>57</xdr:row>
      <xdr:rowOff>85617</xdr:rowOff>
    </xdr:from>
    <xdr:ext cx="1539942" cy="1061663"/>
    <xdr:pic>
      <xdr:nvPicPr>
        <xdr:cNvPr id="21" name="Imagen 20" descr="logo PDET descarga">
          <a:extLst>
            <a:ext uri="{FF2B5EF4-FFF2-40B4-BE49-F238E27FC236}">
              <a16:creationId xmlns:a16="http://schemas.microsoft.com/office/drawing/2014/main" id="{AD73568E-1A29-402B-BA4E-D9F54D55E0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84023" y="85617"/>
          <a:ext cx="1539942" cy="106166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67733</xdr:rowOff>
    </xdr:from>
    <xdr:to>
      <xdr:col>2</xdr:col>
      <xdr:colOff>633197</xdr:colOff>
      <xdr:row>4</xdr:row>
      <xdr:rowOff>194733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67733"/>
          <a:ext cx="1234330" cy="1126067"/>
        </a:xfrm>
        <a:prstGeom prst="rect">
          <a:avLst/>
        </a:prstGeom>
      </xdr:spPr>
    </xdr:pic>
    <xdr:clientData/>
  </xdr:twoCellAnchor>
  <xdr:twoCellAnchor editAs="oneCell">
    <xdr:from>
      <xdr:col>5</xdr:col>
      <xdr:colOff>702734</xdr:colOff>
      <xdr:row>0</xdr:row>
      <xdr:rowOff>194734</xdr:rowOff>
    </xdr:from>
    <xdr:to>
      <xdr:col>6</xdr:col>
      <xdr:colOff>1430866</xdr:colOff>
      <xdr:row>5</xdr:row>
      <xdr:rowOff>118534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5467" y="194734"/>
          <a:ext cx="1507066" cy="11260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259280</xdr:colOff>
      <xdr:row>0</xdr:row>
      <xdr:rowOff>46214</xdr:rowOff>
    </xdr:from>
    <xdr:to>
      <xdr:col>1</xdr:col>
      <xdr:colOff>945443</xdr:colOff>
      <xdr:row>5</xdr:row>
      <xdr:rowOff>138791</xdr:rowOff>
    </xdr:to>
    <xdr:pic>
      <xdr:nvPicPr>
        <xdr:cNvPr id="17" name="2 Imagen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9280" y="46214"/>
          <a:ext cx="1448163" cy="10641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152400</xdr:colOff>
      <xdr:row>0</xdr:row>
      <xdr:rowOff>68580</xdr:rowOff>
    </xdr:from>
    <xdr:to>
      <xdr:col>9</xdr:col>
      <xdr:colOff>840618</xdr:colOff>
      <xdr:row>6</xdr:row>
      <xdr:rowOff>38100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778240" y="68580"/>
          <a:ext cx="1800738" cy="11277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25835</xdr:colOff>
      <xdr:row>0</xdr:row>
      <xdr:rowOff>30480</xdr:rowOff>
    </xdr:from>
    <xdr:to>
      <xdr:col>0</xdr:col>
      <xdr:colOff>1029970</xdr:colOff>
      <xdr:row>5</xdr:row>
      <xdr:rowOff>137160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5" y="30480"/>
          <a:ext cx="1004135" cy="99822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</xdr:colOff>
      <xdr:row>0</xdr:row>
      <xdr:rowOff>76200</xdr:rowOff>
    </xdr:from>
    <xdr:to>
      <xdr:col>6</xdr:col>
      <xdr:colOff>24072</xdr:colOff>
      <xdr:row>5</xdr:row>
      <xdr:rowOff>83820</xdr:rowOff>
    </xdr:to>
    <xdr:pic>
      <xdr:nvPicPr>
        <xdr:cNvPr id="2" name="Imagen 1" descr="logo PDET descarga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92240" y="76200"/>
          <a:ext cx="1304232" cy="8991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1216478</xdr:colOff>
      <xdr:row>5</xdr:row>
      <xdr:rowOff>158903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52</xdr:row>
      <xdr:rowOff>43543</xdr:rowOff>
    </xdr:from>
    <xdr:to>
      <xdr:col>0</xdr:col>
      <xdr:colOff>1148443</xdr:colOff>
      <xdr:row>57</xdr:row>
      <xdr:rowOff>126246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06562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102</xdr:row>
      <xdr:rowOff>76199</xdr:rowOff>
    </xdr:from>
    <xdr:to>
      <xdr:col>0</xdr:col>
      <xdr:colOff>1215119</xdr:colOff>
      <xdr:row>107</xdr:row>
      <xdr:rowOff>158902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24227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8" name="Imagen 7" descr="logo PDET descarga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1207812</xdr:colOff>
      <xdr:row>56</xdr:row>
      <xdr:rowOff>114300</xdr:rowOff>
    </xdr:to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8116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1207812</xdr:colOff>
      <xdr:row>106</xdr:row>
      <xdr:rowOff>114300</xdr:rowOff>
    </xdr:to>
    <xdr:pic>
      <xdr:nvPicPr>
        <xdr:cNvPr id="10" name="Imagen 9" descr="logo PDET descarga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2516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1216478</xdr:colOff>
      <xdr:row>5</xdr:row>
      <xdr:rowOff>158903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52</xdr:row>
      <xdr:rowOff>43543</xdr:rowOff>
    </xdr:from>
    <xdr:to>
      <xdr:col>0</xdr:col>
      <xdr:colOff>1148443</xdr:colOff>
      <xdr:row>57</xdr:row>
      <xdr:rowOff>126246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33994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102</xdr:row>
      <xdr:rowOff>76199</xdr:rowOff>
    </xdr:from>
    <xdr:to>
      <xdr:col>0</xdr:col>
      <xdr:colOff>1215119</xdr:colOff>
      <xdr:row>107</xdr:row>
      <xdr:rowOff>158902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53183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1207812</xdr:colOff>
      <xdr:row>56</xdr:row>
      <xdr:rowOff>114300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9640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1207812</xdr:colOff>
      <xdr:row>106</xdr:row>
      <xdr:rowOff>114300</xdr:rowOff>
    </xdr:to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5564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LICITACIONES%202009/LA%20CRUZ%20TAJUMBINA/Programcion%20la%20Cruz%20tajumbina/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PROGRAMACION%202007\PROPUESTA%20ORQUIDEA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ACION%202007/PROPUESTA%20ORQUIDEAS/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UTOMATICA"/>
      <sheetName val="4. Ficha tecnica por actividad"/>
      <sheetName val="Listas"/>
      <sheetName val="3. Mediciones"/>
      <sheetName val="0. Tareas"/>
      <sheetName val="1. Estructura WBS"/>
      <sheetName val="PRESUPUESTO"/>
      <sheetName val="Base Da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1,1"/>
      <sheetName val="12"/>
      <sheetName val="13"/>
      <sheetName val="14"/>
      <sheetName val="15"/>
      <sheetName val="16"/>
      <sheetName val="17"/>
      <sheetName val="17,1"/>
      <sheetName val="17,2"/>
      <sheetName val="18"/>
      <sheetName val="18,1"/>
      <sheetName val="18,2"/>
      <sheetName val="19"/>
      <sheetName val="19,1"/>
      <sheetName val="19,2"/>
      <sheetName val="20"/>
      <sheetName val="21"/>
      <sheetName val="22"/>
      <sheetName val="23"/>
      <sheetName val="26"/>
      <sheetName val="27"/>
      <sheetName val="28"/>
      <sheetName val="29"/>
      <sheetName val="31"/>
      <sheetName val="30"/>
      <sheetName val="32"/>
      <sheetName val="33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>
        <row r="4">
          <cell r="B4">
            <v>0</v>
          </cell>
        </row>
      </sheetData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M58"/>
  <sheetViews>
    <sheetView view="pageBreakPreview" zoomScale="70" zoomScaleNormal="70" zoomScaleSheetLayoutView="70" workbookViewId="0">
      <selection activeCell="G17" sqref="G17"/>
    </sheetView>
  </sheetViews>
  <sheetFormatPr baseColWidth="10" defaultColWidth="11.44140625" defaultRowHeight="13.2" x14ac:dyDescent="0.25"/>
  <cols>
    <col min="1" max="1" width="8.33203125" style="61" customWidth="1"/>
    <col min="2" max="2" width="39.33203125" style="61" customWidth="1"/>
    <col min="3" max="3" width="11.44140625" style="61"/>
    <col min="4" max="4" width="11.6640625" style="61" bestFit="1" customWidth="1"/>
    <col min="5" max="6" width="11.44140625" style="61"/>
    <col min="7" max="7" width="12.6640625" style="61" bestFit="1" customWidth="1"/>
    <col min="8" max="8" width="13.44140625" style="61" customWidth="1"/>
    <col min="9" max="16384" width="11.44140625" style="14"/>
  </cols>
  <sheetData>
    <row r="1" spans="1:8" ht="15.6" x14ac:dyDescent="0.3">
      <c r="A1" s="591" t="s">
        <v>0</v>
      </c>
      <c r="B1" s="592"/>
      <c r="C1" s="592"/>
      <c r="D1" s="592"/>
      <c r="E1" s="592"/>
      <c r="F1" s="592"/>
      <c r="G1" s="592"/>
      <c r="H1" s="593"/>
    </row>
    <row r="2" spans="1:8" x14ac:dyDescent="0.25">
      <c r="A2" s="594" t="s">
        <v>1</v>
      </c>
      <c r="B2" s="595"/>
      <c r="C2" s="595"/>
      <c r="D2" s="595"/>
      <c r="E2" s="595"/>
      <c r="F2" s="595"/>
      <c r="G2" s="595"/>
      <c r="H2" s="596"/>
    </row>
    <row r="3" spans="1:8" x14ac:dyDescent="0.25">
      <c r="A3" s="594" t="s">
        <v>65</v>
      </c>
      <c r="B3" s="595"/>
      <c r="C3" s="595"/>
      <c r="D3" s="595"/>
      <c r="E3" s="595"/>
      <c r="F3" s="595"/>
      <c r="G3" s="595"/>
      <c r="H3" s="596"/>
    </row>
    <row r="4" spans="1:8" x14ac:dyDescent="0.25">
      <c r="A4" s="63"/>
      <c r="E4" s="65"/>
      <c r="F4" s="65"/>
      <c r="G4" s="65"/>
      <c r="H4" s="66"/>
    </row>
    <row r="5" spans="1:8" ht="15" customHeight="1" x14ac:dyDescent="0.25">
      <c r="A5" s="597" t="s">
        <v>160</v>
      </c>
      <c r="B5" s="598"/>
      <c r="C5" s="598"/>
      <c r="D5" s="598"/>
      <c r="E5" s="598"/>
      <c r="F5" s="598"/>
      <c r="G5" s="598"/>
      <c r="H5" s="599"/>
    </row>
    <row r="6" spans="1:8" x14ac:dyDescent="0.25">
      <c r="A6" s="111"/>
      <c r="H6" s="64"/>
    </row>
    <row r="7" spans="1:8" ht="47.25" customHeight="1" x14ac:dyDescent="0.25">
      <c r="A7" s="600" t="e">
        <f>+Presupuesto!#REF!</f>
        <v>#REF!</v>
      </c>
      <c r="B7" s="601"/>
      <c r="C7" s="601"/>
      <c r="D7" s="601"/>
      <c r="E7" s="601"/>
      <c r="F7" s="601"/>
      <c r="G7" s="601"/>
      <c r="H7" s="602"/>
    </row>
    <row r="8" spans="1:8" x14ac:dyDescent="0.25">
      <c r="A8" s="63"/>
      <c r="H8" s="64"/>
    </row>
    <row r="9" spans="1:8" x14ac:dyDescent="0.25">
      <c r="A9" s="67" t="s">
        <v>27</v>
      </c>
      <c r="B9" s="68"/>
      <c r="C9" s="68"/>
      <c r="D9" s="68"/>
      <c r="E9" s="68"/>
      <c r="F9" s="68"/>
      <c r="G9" s="69"/>
      <c r="H9" s="70"/>
    </row>
    <row r="10" spans="1:8" x14ac:dyDescent="0.25">
      <c r="A10" s="71"/>
      <c r="B10" s="72" t="s">
        <v>165</v>
      </c>
      <c r="C10" s="73"/>
      <c r="D10" s="73"/>
      <c r="E10" s="73"/>
      <c r="F10" s="73"/>
      <c r="G10" s="74" t="s">
        <v>28</v>
      </c>
      <c r="H10" s="75" t="s">
        <v>17</v>
      </c>
    </row>
    <row r="11" spans="1:8" x14ac:dyDescent="0.25">
      <c r="A11" s="63"/>
      <c r="H11" s="64"/>
    </row>
    <row r="12" spans="1:8" x14ac:dyDescent="0.25">
      <c r="A12" s="76" t="s">
        <v>29</v>
      </c>
      <c r="B12" s="77" t="s">
        <v>30</v>
      </c>
      <c r="H12" s="64"/>
    </row>
    <row r="13" spans="1:8" x14ac:dyDescent="0.25">
      <c r="A13" s="78"/>
      <c r="B13" s="79" t="s">
        <v>31</v>
      </c>
      <c r="C13" s="80"/>
      <c r="D13" s="79" t="s">
        <v>32</v>
      </c>
      <c r="E13" s="81" t="s">
        <v>33</v>
      </c>
      <c r="F13" s="79" t="s">
        <v>34</v>
      </c>
      <c r="G13" s="81" t="s">
        <v>35</v>
      </c>
      <c r="H13" s="64"/>
    </row>
    <row r="14" spans="1:8" x14ac:dyDescent="0.25">
      <c r="A14" s="82"/>
      <c r="B14" s="79" t="s">
        <v>67</v>
      </c>
      <c r="C14" s="83"/>
      <c r="D14" s="84"/>
      <c r="E14" s="85"/>
      <c r="F14" s="86">
        <v>0.1</v>
      </c>
      <c r="G14" s="118">
        <f>H34*F14</f>
        <v>5130.9000000000005</v>
      </c>
      <c r="H14" s="87"/>
    </row>
    <row r="15" spans="1:8" x14ac:dyDescent="0.25">
      <c r="A15" s="82"/>
      <c r="B15" s="84"/>
      <c r="C15" s="83"/>
      <c r="D15" s="84"/>
      <c r="E15" s="85"/>
      <c r="F15" s="86"/>
      <c r="G15" s="85"/>
      <c r="H15" s="87"/>
    </row>
    <row r="16" spans="1:8" x14ac:dyDescent="0.25">
      <c r="A16" s="82"/>
      <c r="B16" s="84"/>
      <c r="C16" s="83"/>
      <c r="D16" s="84"/>
      <c r="E16" s="85"/>
      <c r="F16" s="86"/>
      <c r="G16" s="85"/>
      <c r="H16" s="88"/>
    </row>
    <row r="17" spans="1:13" x14ac:dyDescent="0.25">
      <c r="A17" s="82"/>
      <c r="B17" s="84"/>
      <c r="C17" s="83"/>
      <c r="D17" s="84"/>
      <c r="E17" s="85"/>
      <c r="F17" s="86"/>
      <c r="G17" s="85"/>
      <c r="H17" s="88"/>
    </row>
    <row r="18" spans="1:13" x14ac:dyDescent="0.25">
      <c r="A18" s="82"/>
      <c r="B18" s="84"/>
      <c r="C18" s="83"/>
      <c r="D18" s="89"/>
      <c r="E18" s="85"/>
      <c r="F18" s="85"/>
      <c r="G18" s="85"/>
      <c r="H18" s="88"/>
    </row>
    <row r="19" spans="1:13" x14ac:dyDescent="0.25">
      <c r="A19" s="90"/>
      <c r="B19" s="84"/>
      <c r="C19" s="83"/>
      <c r="D19" s="89"/>
      <c r="E19" s="85"/>
      <c r="F19" s="85"/>
      <c r="G19" s="85"/>
      <c r="H19" s="88"/>
    </row>
    <row r="20" spans="1:13" x14ac:dyDescent="0.25">
      <c r="A20" s="67"/>
      <c r="E20" s="91" t="s">
        <v>36</v>
      </c>
      <c r="F20" s="91"/>
      <c r="G20" s="91"/>
      <c r="H20" s="118">
        <f>ROUND(SUM(G14:G19),0)</f>
        <v>5131</v>
      </c>
      <c r="M20" s="16"/>
    </row>
    <row r="21" spans="1:13" x14ac:dyDescent="0.25">
      <c r="A21" s="93" t="s">
        <v>37</v>
      </c>
      <c r="B21" s="77" t="s">
        <v>38</v>
      </c>
      <c r="E21" s="91"/>
      <c r="F21" s="91"/>
      <c r="G21" s="91"/>
      <c r="H21" s="88"/>
    </row>
    <row r="22" spans="1:13" x14ac:dyDescent="0.25">
      <c r="A22" s="94"/>
      <c r="B22" s="79" t="s">
        <v>31</v>
      </c>
      <c r="C22" s="83"/>
      <c r="D22" s="84" t="s">
        <v>12</v>
      </c>
      <c r="E22" s="95" t="s">
        <v>39</v>
      </c>
      <c r="F22" s="95" t="s">
        <v>40</v>
      </c>
      <c r="G22" s="95" t="s">
        <v>35</v>
      </c>
      <c r="H22" s="88"/>
    </row>
    <row r="23" spans="1:13" x14ac:dyDescent="0.25">
      <c r="A23" s="82"/>
      <c r="B23" s="84" t="s">
        <v>132</v>
      </c>
      <c r="C23" s="83"/>
      <c r="D23" s="96" t="s">
        <v>130</v>
      </c>
      <c r="E23" s="97">
        <v>420</v>
      </c>
      <c r="F23" s="85">
        <v>650</v>
      </c>
      <c r="G23" s="118">
        <f>+F23*E23</f>
        <v>273000</v>
      </c>
      <c r="H23" s="88"/>
    </row>
    <row r="24" spans="1:13" x14ac:dyDescent="0.25">
      <c r="A24" s="82"/>
      <c r="B24" s="96" t="s">
        <v>133</v>
      </c>
      <c r="C24" s="83"/>
      <c r="D24" s="96" t="s">
        <v>17</v>
      </c>
      <c r="E24" s="85">
        <v>0.67</v>
      </c>
      <c r="F24" s="85">
        <v>60000</v>
      </c>
      <c r="G24" s="118">
        <f>+F24*E24</f>
        <v>40200</v>
      </c>
      <c r="H24" s="88"/>
    </row>
    <row r="25" spans="1:13" x14ac:dyDescent="0.25">
      <c r="A25" s="82"/>
      <c r="B25" s="96" t="s">
        <v>134</v>
      </c>
      <c r="C25" s="83"/>
      <c r="D25" s="96" t="s">
        <v>17</v>
      </c>
      <c r="E25" s="85">
        <v>0.67</v>
      </c>
      <c r="F25" s="85">
        <v>70000</v>
      </c>
      <c r="G25" s="118">
        <f>--E25*F25</f>
        <v>46900</v>
      </c>
      <c r="H25" s="88"/>
    </row>
    <row r="26" spans="1:13" x14ac:dyDescent="0.25">
      <c r="A26" s="82"/>
      <c r="B26" s="84" t="s">
        <v>135</v>
      </c>
      <c r="C26" s="83"/>
      <c r="D26" s="84" t="s">
        <v>136</v>
      </c>
      <c r="E26" s="85">
        <v>210</v>
      </c>
      <c r="F26" s="85">
        <v>50</v>
      </c>
      <c r="G26" s="118">
        <f>--E26*F26</f>
        <v>10500</v>
      </c>
      <c r="H26" s="88"/>
    </row>
    <row r="27" spans="1:13" x14ac:dyDescent="0.25">
      <c r="A27" s="82"/>
      <c r="B27" s="84"/>
      <c r="C27" s="83"/>
      <c r="D27" s="89"/>
      <c r="E27" s="85"/>
      <c r="F27" s="85"/>
      <c r="G27" s="85"/>
      <c r="H27" s="88"/>
    </row>
    <row r="28" spans="1:13" x14ac:dyDescent="0.25">
      <c r="A28" s="67" t="s">
        <v>41</v>
      </c>
      <c r="E28" s="91" t="s">
        <v>42</v>
      </c>
      <c r="F28" s="91"/>
      <c r="G28" s="91"/>
      <c r="H28" s="118">
        <f>(SUM(G23:G26))</f>
        <v>370600</v>
      </c>
    </row>
    <row r="29" spans="1:13" x14ac:dyDescent="0.25">
      <c r="A29" s="93" t="s">
        <v>43</v>
      </c>
      <c r="B29" s="77" t="s">
        <v>44</v>
      </c>
      <c r="E29" s="91"/>
      <c r="F29" s="91"/>
      <c r="G29" s="91"/>
      <c r="H29" s="88"/>
    </row>
    <row r="30" spans="1:13" x14ac:dyDescent="0.25">
      <c r="A30" s="82" t="s">
        <v>45</v>
      </c>
      <c r="B30" s="81" t="s">
        <v>31</v>
      </c>
      <c r="C30" s="81" t="s">
        <v>46</v>
      </c>
      <c r="D30" s="81" t="s">
        <v>47</v>
      </c>
      <c r="E30" s="95" t="s">
        <v>48</v>
      </c>
      <c r="F30" s="85" t="s">
        <v>49</v>
      </c>
      <c r="G30" s="85" t="s">
        <v>35</v>
      </c>
      <c r="H30" s="88"/>
    </row>
    <row r="31" spans="1:13" x14ac:dyDescent="0.25">
      <c r="A31" s="82">
        <v>6</v>
      </c>
      <c r="B31" s="89" t="s">
        <v>69</v>
      </c>
      <c r="C31" s="99">
        <v>30000</v>
      </c>
      <c r="D31" s="100">
        <v>0.75</v>
      </c>
      <c r="E31" s="97">
        <f>+(A31*C31)+(A31*C31*D31)</f>
        <v>315000</v>
      </c>
      <c r="F31" s="101">
        <v>7.5035875572971067</v>
      </c>
      <c r="G31" s="118">
        <f>(E31)/(F31)</f>
        <v>41979.919284565163</v>
      </c>
      <c r="H31" s="88"/>
    </row>
    <row r="32" spans="1:13" x14ac:dyDescent="0.25">
      <c r="A32" s="82">
        <v>1</v>
      </c>
      <c r="B32" s="89" t="s">
        <v>68</v>
      </c>
      <c r="C32" s="99">
        <v>40000</v>
      </c>
      <c r="D32" s="100">
        <v>0.75</v>
      </c>
      <c r="E32" s="97">
        <f>(A32*C32)+(D32*C32*A32)</f>
        <v>70000</v>
      </c>
      <c r="F32" s="101">
        <f>--F31</f>
        <v>7.5035875572971067</v>
      </c>
      <c r="G32" s="118">
        <f>E32/F32</f>
        <v>9328.8709521255914</v>
      </c>
      <c r="H32" s="88"/>
    </row>
    <row r="33" spans="1:8" x14ac:dyDescent="0.25">
      <c r="A33" s="82"/>
      <c r="B33" s="89"/>
      <c r="C33" s="89"/>
      <c r="D33" s="89"/>
      <c r="E33" s="85"/>
      <c r="F33" s="85"/>
      <c r="G33" s="85"/>
      <c r="H33" s="88"/>
    </row>
    <row r="34" spans="1:8" x14ac:dyDescent="0.25">
      <c r="A34" s="67"/>
      <c r="E34" s="91" t="s">
        <v>50</v>
      </c>
      <c r="F34" s="91"/>
      <c r="G34" s="91"/>
      <c r="H34" s="118">
        <f>ROUND(SUM(G31)+(G32),0)</f>
        <v>51309</v>
      </c>
    </row>
    <row r="35" spans="1:8" x14ac:dyDescent="0.25">
      <c r="A35" s="93" t="s">
        <v>51</v>
      </c>
      <c r="B35" s="77" t="s">
        <v>18</v>
      </c>
      <c r="E35" s="91"/>
      <c r="F35" s="91"/>
      <c r="G35" s="91"/>
      <c r="H35" s="88"/>
    </row>
    <row r="36" spans="1:8" x14ac:dyDescent="0.25">
      <c r="A36" s="82"/>
      <c r="B36" s="89" t="s">
        <v>31</v>
      </c>
      <c r="C36" s="102" t="s">
        <v>12</v>
      </c>
      <c r="D36" s="103" t="s">
        <v>13</v>
      </c>
      <c r="E36" s="103" t="s">
        <v>52</v>
      </c>
      <c r="F36" s="103"/>
      <c r="G36" s="85" t="s">
        <v>53</v>
      </c>
      <c r="H36" s="88"/>
    </row>
    <row r="37" spans="1:8" x14ac:dyDescent="0.25">
      <c r="A37" s="82"/>
      <c r="B37" s="89"/>
      <c r="C37" s="98"/>
      <c r="D37" s="89"/>
      <c r="E37" s="85"/>
      <c r="F37" s="85"/>
      <c r="G37" s="85"/>
      <c r="H37" s="88"/>
    </row>
    <row r="38" spans="1:8" x14ac:dyDescent="0.25">
      <c r="A38" s="82"/>
      <c r="B38" s="89"/>
      <c r="C38" s="97"/>
      <c r="D38" s="89"/>
      <c r="E38" s="85"/>
      <c r="F38" s="85"/>
      <c r="G38" s="85"/>
      <c r="H38" s="88"/>
    </row>
    <row r="39" spans="1:8" x14ac:dyDescent="0.25">
      <c r="A39" s="82"/>
      <c r="B39" s="89"/>
      <c r="C39" s="89"/>
      <c r="D39" s="89"/>
      <c r="E39" s="85"/>
      <c r="F39" s="85"/>
      <c r="G39" s="85"/>
      <c r="H39" s="88"/>
    </row>
    <row r="40" spans="1:8" x14ac:dyDescent="0.25">
      <c r="A40" s="67"/>
      <c r="E40" s="91" t="s">
        <v>50</v>
      </c>
      <c r="F40" s="91"/>
      <c r="G40" s="91"/>
      <c r="H40" s="92">
        <f>ROUND(SUM(G37)+(G38),0)</f>
        <v>0</v>
      </c>
    </row>
    <row r="41" spans="1:8" x14ac:dyDescent="0.25">
      <c r="A41" s="63"/>
      <c r="E41" s="91"/>
      <c r="F41" s="91"/>
      <c r="G41" s="91"/>
      <c r="H41" s="88"/>
    </row>
    <row r="42" spans="1:8" x14ac:dyDescent="0.25">
      <c r="A42" s="63"/>
      <c r="D42" s="65" t="s">
        <v>54</v>
      </c>
      <c r="E42" s="104"/>
      <c r="F42" s="104"/>
      <c r="G42" s="104"/>
      <c r="H42" s="118">
        <f>SUM(H20:H41)</f>
        <v>427040</v>
      </c>
    </row>
    <row r="43" spans="1:8" x14ac:dyDescent="0.25">
      <c r="A43" s="63"/>
      <c r="E43" s="91"/>
      <c r="F43" s="91"/>
      <c r="G43" s="91"/>
      <c r="H43" s="88"/>
    </row>
    <row r="44" spans="1:8" x14ac:dyDescent="0.25">
      <c r="A44" s="93" t="s">
        <v>55</v>
      </c>
      <c r="B44" s="77" t="s">
        <v>56</v>
      </c>
      <c r="E44" s="91"/>
      <c r="F44" s="91"/>
      <c r="G44" s="91"/>
      <c r="H44" s="88"/>
    </row>
    <row r="45" spans="1:8" x14ac:dyDescent="0.25">
      <c r="A45" s="105"/>
      <c r="B45" s="81" t="s">
        <v>31</v>
      </c>
      <c r="C45" s="81" t="s">
        <v>57</v>
      </c>
      <c r="D45" s="84" t="s">
        <v>58</v>
      </c>
      <c r="E45" s="106"/>
      <c r="F45" s="86" t="s">
        <v>59</v>
      </c>
      <c r="G45" s="106"/>
      <c r="H45" s="88"/>
    </row>
    <row r="46" spans="1:8" x14ac:dyDescent="0.25">
      <c r="A46" s="90"/>
      <c r="B46" s="81" t="s">
        <v>60</v>
      </c>
      <c r="C46" s="100">
        <v>0.23</v>
      </c>
      <c r="D46" s="84"/>
      <c r="E46" s="107"/>
      <c r="F46" s="84"/>
      <c r="G46" s="118">
        <f>+H42*C46</f>
        <v>98219.199999999997</v>
      </c>
      <c r="H46" s="88"/>
    </row>
    <row r="47" spans="1:8" x14ac:dyDescent="0.25">
      <c r="A47" s="90"/>
      <c r="B47" s="81" t="s">
        <v>61</v>
      </c>
      <c r="C47" s="100">
        <v>0.04</v>
      </c>
      <c r="D47" s="84"/>
      <c r="E47" s="107"/>
      <c r="F47" s="84"/>
      <c r="G47" s="118">
        <f>+H42*C47</f>
        <v>17081.599999999999</v>
      </c>
      <c r="H47" s="88"/>
    </row>
    <row r="48" spans="1:8" x14ac:dyDescent="0.25">
      <c r="A48" s="90"/>
      <c r="B48" s="81" t="s">
        <v>62</v>
      </c>
      <c r="C48" s="100">
        <v>0.03</v>
      </c>
      <c r="D48" s="84"/>
      <c r="E48" s="107"/>
      <c r="F48" s="84"/>
      <c r="G48" s="118">
        <f>+H42*C48</f>
        <v>12811.199999999999</v>
      </c>
      <c r="H48" s="88"/>
    </row>
    <row r="49" spans="1:9" x14ac:dyDescent="0.25">
      <c r="A49" s="63"/>
      <c r="D49" s="65" t="s">
        <v>63</v>
      </c>
      <c r="E49" s="104"/>
      <c r="F49" s="104"/>
      <c r="G49" s="104"/>
      <c r="H49" s="118">
        <f>SUM(G45:G48)</f>
        <v>128111.99999999999</v>
      </c>
    </row>
    <row r="50" spans="1:9" x14ac:dyDescent="0.25">
      <c r="A50" s="63"/>
      <c r="E50" s="91"/>
      <c r="F50" s="91"/>
      <c r="G50" s="91"/>
      <c r="H50" s="88"/>
      <c r="I50" s="15"/>
    </row>
    <row r="51" spans="1:9" x14ac:dyDescent="0.25">
      <c r="A51" s="63"/>
      <c r="D51" s="65" t="s">
        <v>64</v>
      </c>
      <c r="E51" s="104"/>
      <c r="F51" s="104"/>
      <c r="G51" s="91"/>
      <c r="H51" s="118">
        <f>H42+H49</f>
        <v>555152</v>
      </c>
    </row>
    <row r="52" spans="1:9" x14ac:dyDescent="0.25">
      <c r="A52" s="63"/>
      <c r="D52" s="65"/>
      <c r="E52" s="104"/>
      <c r="F52" s="104"/>
      <c r="G52" s="91"/>
      <c r="H52" s="88"/>
    </row>
    <row r="53" spans="1:9" x14ac:dyDescent="0.25">
      <c r="A53" s="63"/>
      <c r="D53" s="65"/>
      <c r="E53" s="104"/>
      <c r="F53" s="104"/>
      <c r="G53" s="91"/>
      <c r="H53" s="88"/>
    </row>
    <row r="54" spans="1:9" x14ac:dyDescent="0.25">
      <c r="A54" s="63"/>
      <c r="E54" s="104"/>
      <c r="F54" s="104"/>
      <c r="G54" s="91"/>
      <c r="H54" s="88"/>
    </row>
    <row r="55" spans="1:9" x14ac:dyDescent="0.25">
      <c r="A55" s="71"/>
      <c r="B55" s="73"/>
      <c r="D55" s="109"/>
      <c r="E55" s="110"/>
      <c r="F55" s="110"/>
      <c r="G55" s="72"/>
      <c r="H55" s="88"/>
    </row>
    <row r="56" spans="1:9" ht="15" x14ac:dyDescent="0.25">
      <c r="A56" s="112">
        <f>+Presupuesto!A67</f>
        <v>0</v>
      </c>
      <c r="D56" s="113" t="str">
        <f>+Presupuesto!D65</f>
        <v>ARQ. GUILLERMO YAMID VALLEJOS BENAVIDES</v>
      </c>
      <c r="E56" s="104"/>
      <c r="F56" s="104"/>
      <c r="G56" s="91"/>
      <c r="H56" s="88"/>
    </row>
    <row r="57" spans="1:9" ht="15" x14ac:dyDescent="0.25">
      <c r="A57" s="114">
        <f>+Presupuesto!A68</f>
        <v>0</v>
      </c>
      <c r="D57" s="113" t="str">
        <f>+Presupuesto!D66</f>
        <v>SECRETARIO DE PLANEACION Y OBRAS PUBLICAS</v>
      </c>
      <c r="E57" s="104"/>
      <c r="F57" s="104"/>
      <c r="G57" s="91"/>
      <c r="H57" s="88"/>
    </row>
    <row r="58" spans="1:9" ht="15.6" thickBot="1" x14ac:dyDescent="0.3">
      <c r="A58" s="117" t="e">
        <f>APU!#REF!</f>
        <v>#REF!</v>
      </c>
      <c r="B58" s="62"/>
      <c r="C58" s="62"/>
      <c r="D58" s="115" t="str">
        <f>+Presupuesto!D67</f>
        <v>SAN MIGUEL - PUTUMAYO</v>
      </c>
      <c r="E58" s="108"/>
      <c r="F58" s="108"/>
      <c r="G58" s="108"/>
      <c r="H58" s="116"/>
    </row>
  </sheetData>
  <mergeCells count="5">
    <mergeCell ref="A1:H1"/>
    <mergeCell ref="A2:H2"/>
    <mergeCell ref="A3:H3"/>
    <mergeCell ref="A5:H5"/>
    <mergeCell ref="A7:H7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K68"/>
  <sheetViews>
    <sheetView showGridLines="0" tabSelected="1" view="pageBreakPreview" zoomScaleNormal="100" zoomScaleSheetLayoutView="100" workbookViewId="0">
      <selection activeCell="A11" sqref="A11:G61"/>
    </sheetView>
  </sheetViews>
  <sheetFormatPr baseColWidth="10" defaultColWidth="11.44140625" defaultRowHeight="13.8" outlineLevelCol="1" x14ac:dyDescent="0.3"/>
  <cols>
    <col min="1" max="1" width="6.33203125" style="57" customWidth="1"/>
    <col min="2" max="2" width="12.6640625" style="57" customWidth="1"/>
    <col min="3" max="3" width="50.33203125" style="56" customWidth="1"/>
    <col min="4" max="4" width="8.88671875" style="57" customWidth="1"/>
    <col min="5" max="5" width="8.5546875" style="57" customWidth="1"/>
    <col min="6" max="6" width="14" style="193" customWidth="1"/>
    <col min="7" max="7" width="21.44140625" style="193" customWidth="1"/>
    <col min="8" max="8" width="12.44140625" style="186" customWidth="1"/>
    <col min="9" max="9" width="14.5546875" style="588" customWidth="1"/>
    <col min="10" max="10" width="16.21875" style="180" customWidth="1"/>
    <col min="11" max="11" width="20.33203125" style="181" customWidth="1"/>
    <col min="12" max="16" width="19.88671875" style="180" customWidth="1" outlineLevel="1"/>
    <col min="17" max="17" width="23.109375" style="180" customWidth="1" outlineLevel="1"/>
    <col min="18" max="20" width="11.44140625" style="181" customWidth="1" outlineLevel="1"/>
    <col min="21" max="21" width="23.33203125" style="181" customWidth="1"/>
    <col min="22" max="22" width="24.6640625" style="181" customWidth="1"/>
    <col min="23" max="23" width="23.33203125" style="181" customWidth="1"/>
    <col min="24" max="24" width="23.6640625" style="181" customWidth="1"/>
    <col min="25" max="25" width="26.33203125" style="181" customWidth="1"/>
    <col min="26" max="26" width="23.88671875" style="181" customWidth="1"/>
    <col min="27" max="27" width="17.88671875" style="181" bestFit="1" customWidth="1"/>
    <col min="28" max="28" width="11.44140625" style="181"/>
    <col min="29" max="29" width="30" style="181" customWidth="1"/>
    <col min="30" max="30" width="22.109375" style="182" customWidth="1"/>
    <col min="31" max="16384" width="11.44140625" style="181"/>
  </cols>
  <sheetData>
    <row r="1" spans="1:37" ht="12.75" customHeight="1" x14ac:dyDescent="0.3">
      <c r="A1" s="643"/>
      <c r="B1" s="643"/>
      <c r="C1" s="638" t="s">
        <v>224</v>
      </c>
      <c r="D1" s="625" t="s">
        <v>225</v>
      </c>
      <c r="E1" s="626"/>
      <c r="F1" s="275">
        <v>103</v>
      </c>
      <c r="G1" s="633"/>
      <c r="H1"/>
      <c r="I1" s="585"/>
      <c r="J1"/>
      <c r="K1"/>
      <c r="L1"/>
      <c r="M1"/>
      <c r="N1"/>
      <c r="O1"/>
      <c r="R1" s="180"/>
      <c r="S1" s="180"/>
      <c r="AD1" s="181"/>
      <c r="AK1" s="182"/>
    </row>
    <row r="2" spans="1:37" ht="16.5" customHeight="1" x14ac:dyDescent="0.3">
      <c r="A2" s="643"/>
      <c r="B2" s="643"/>
      <c r="C2" s="639"/>
      <c r="D2" s="634" t="s">
        <v>195</v>
      </c>
      <c r="E2" s="635"/>
      <c r="F2" s="638">
        <v>51</v>
      </c>
      <c r="G2" s="633"/>
      <c r="H2"/>
      <c r="I2" s="585"/>
      <c r="J2"/>
      <c r="K2"/>
      <c r="L2"/>
      <c r="M2"/>
      <c r="N2"/>
      <c r="O2"/>
      <c r="R2" s="180"/>
      <c r="S2" s="180"/>
      <c r="AD2" s="181"/>
      <c r="AK2" s="182"/>
    </row>
    <row r="3" spans="1:37" ht="16.5" customHeight="1" x14ac:dyDescent="0.3">
      <c r="A3" s="643"/>
      <c r="B3" s="643"/>
      <c r="C3" s="307" t="s">
        <v>196</v>
      </c>
      <c r="D3" s="636"/>
      <c r="E3" s="637"/>
      <c r="F3" s="639"/>
      <c r="G3" s="633"/>
      <c r="H3"/>
      <c r="I3" s="585"/>
      <c r="J3"/>
      <c r="K3"/>
      <c r="L3"/>
      <c r="M3"/>
      <c r="N3"/>
      <c r="O3"/>
      <c r="R3" s="180"/>
      <c r="S3" s="180"/>
      <c r="AD3" s="181"/>
      <c r="AK3" s="182"/>
    </row>
    <row r="4" spans="1:37" ht="14.4" x14ac:dyDescent="0.3">
      <c r="A4" s="643"/>
      <c r="B4" s="643"/>
      <c r="C4" s="308" t="s">
        <v>197</v>
      </c>
      <c r="D4" s="640" t="s">
        <v>198</v>
      </c>
      <c r="E4" s="641"/>
      <c r="F4" s="494">
        <v>1</v>
      </c>
      <c r="G4" s="633"/>
      <c r="H4"/>
      <c r="I4" s="585"/>
      <c r="J4"/>
      <c r="K4"/>
      <c r="L4"/>
      <c r="M4"/>
      <c r="N4"/>
      <c r="O4"/>
      <c r="R4" s="180"/>
      <c r="S4" s="180"/>
      <c r="AD4" s="181"/>
      <c r="AK4" s="182"/>
    </row>
    <row r="5" spans="1:37" ht="12.75" customHeight="1" x14ac:dyDescent="0.3">
      <c r="A5" s="643"/>
      <c r="B5" s="643"/>
      <c r="C5" s="642" t="s">
        <v>199</v>
      </c>
      <c r="D5" s="642" t="s">
        <v>200</v>
      </c>
      <c r="E5" s="642"/>
      <c r="F5" s="473" t="s">
        <v>201</v>
      </c>
      <c r="G5" s="633"/>
      <c r="H5"/>
      <c r="I5" s="585"/>
      <c r="J5"/>
      <c r="K5"/>
      <c r="L5"/>
      <c r="M5"/>
      <c r="N5"/>
      <c r="O5"/>
      <c r="R5" s="180"/>
      <c r="S5" s="180"/>
      <c r="AD5" s="181"/>
      <c r="AK5" s="182"/>
    </row>
    <row r="6" spans="1:37" ht="12.75" customHeight="1" x14ac:dyDescent="0.3">
      <c r="A6" s="643"/>
      <c r="B6" s="643"/>
      <c r="C6" s="642"/>
      <c r="D6" s="642"/>
      <c r="E6" s="642"/>
      <c r="F6" s="310">
        <v>44216</v>
      </c>
      <c r="G6" s="633"/>
      <c r="H6"/>
      <c r="I6" s="585"/>
      <c r="J6"/>
      <c r="K6"/>
      <c r="L6"/>
      <c r="M6"/>
      <c r="N6"/>
      <c r="O6"/>
      <c r="R6" s="180"/>
      <c r="S6" s="180"/>
      <c r="AD6" s="181"/>
      <c r="AK6" s="182"/>
    </row>
    <row r="7" spans="1:37" ht="12.75" customHeight="1" thickBot="1" x14ac:dyDescent="0.35">
      <c r="A7" s="194"/>
      <c r="B7" s="194"/>
      <c r="C7" s="194"/>
      <c r="D7" s="194"/>
      <c r="E7" s="194"/>
      <c r="F7" s="474"/>
      <c r="G7" s="475"/>
      <c r="H7"/>
      <c r="I7" s="585"/>
      <c r="J7"/>
      <c r="K7"/>
      <c r="L7"/>
      <c r="M7"/>
      <c r="N7"/>
      <c r="O7"/>
      <c r="R7" s="180"/>
      <c r="S7" s="180"/>
      <c r="AD7" s="181"/>
      <c r="AK7" s="182"/>
    </row>
    <row r="8" spans="1:37" ht="12.75" customHeight="1" x14ac:dyDescent="0.3">
      <c r="A8" s="627" t="s">
        <v>465</v>
      </c>
      <c r="B8" s="628"/>
      <c r="C8" s="628"/>
      <c r="D8" s="628"/>
      <c r="E8" s="628"/>
      <c r="F8" s="628"/>
      <c r="G8" s="629"/>
      <c r="H8"/>
      <c r="I8" s="585"/>
      <c r="J8"/>
      <c r="K8"/>
      <c r="L8"/>
      <c r="M8"/>
      <c r="N8"/>
      <c r="O8"/>
      <c r="R8" s="180"/>
      <c r="S8" s="180"/>
      <c r="AD8" s="181"/>
      <c r="AK8" s="182"/>
    </row>
    <row r="9" spans="1:37" ht="28.95" customHeight="1" thickBot="1" x14ac:dyDescent="0.35">
      <c r="A9" s="630"/>
      <c r="B9" s="631"/>
      <c r="C9" s="631"/>
      <c r="D9" s="631"/>
      <c r="E9" s="631"/>
      <c r="F9" s="631"/>
      <c r="G9" s="632"/>
      <c r="H9"/>
      <c r="I9" s="585"/>
      <c r="J9"/>
      <c r="K9"/>
      <c r="L9"/>
      <c r="M9"/>
      <c r="N9"/>
      <c r="O9"/>
      <c r="R9" s="180"/>
      <c r="S9" s="180"/>
      <c r="AD9" s="181"/>
      <c r="AK9" s="182"/>
    </row>
    <row r="10" spans="1:37" ht="12.75" customHeight="1" thickBot="1" x14ac:dyDescent="0.35">
      <c r="A10" s="194"/>
      <c r="B10" s="194"/>
      <c r="C10" s="194"/>
      <c r="D10" s="194"/>
      <c r="E10" s="194"/>
      <c r="F10" s="474"/>
      <c r="G10" s="476"/>
      <c r="H10" s="194"/>
      <c r="I10" s="585"/>
      <c r="J10" s="194"/>
      <c r="K10" s="194"/>
      <c r="L10" s="194"/>
      <c r="M10" s="194"/>
      <c r="N10" s="312"/>
      <c r="R10" s="180"/>
      <c r="S10" s="180"/>
      <c r="AD10" s="181"/>
      <c r="AK10" s="182"/>
    </row>
    <row r="11" spans="1:37" ht="18" customHeight="1" thickBot="1" x14ac:dyDescent="0.35">
      <c r="A11" s="607" t="s">
        <v>226</v>
      </c>
      <c r="B11" s="608"/>
      <c r="C11" s="608"/>
      <c r="D11" s="608"/>
      <c r="E11" s="608"/>
      <c r="F11" s="608"/>
      <c r="G11" s="609"/>
      <c r="H11" s="194"/>
      <c r="I11" s="585"/>
      <c r="J11"/>
      <c r="K11" s="194"/>
      <c r="L11" s="194"/>
      <c r="M11" s="194"/>
      <c r="N11" s="312"/>
      <c r="R11" s="180"/>
      <c r="S11" s="180"/>
      <c r="AD11" s="181"/>
      <c r="AK11" s="182"/>
    </row>
    <row r="12" spans="1:37" ht="12.75" customHeight="1" x14ac:dyDescent="0.3">
      <c r="A12" s="194"/>
      <c r="B12" s="194"/>
      <c r="C12" s="194"/>
      <c r="D12" s="194"/>
      <c r="E12" s="194"/>
      <c r="F12" s="474"/>
      <c r="G12" s="476"/>
      <c r="H12" s="180"/>
      <c r="I12" s="585"/>
      <c r="J12" s="194"/>
      <c r="K12" s="180"/>
      <c r="M12" s="181"/>
      <c r="N12" s="181"/>
      <c r="O12" s="181"/>
      <c r="P12" s="181"/>
      <c r="Q12" s="181"/>
    </row>
    <row r="13" spans="1:37" ht="17.100000000000001" customHeight="1" x14ac:dyDescent="0.3">
      <c r="A13" s="195" t="s">
        <v>3</v>
      </c>
      <c r="B13" s="610" t="s">
        <v>19</v>
      </c>
      <c r="C13" s="610"/>
      <c r="D13" s="195" t="s">
        <v>20</v>
      </c>
      <c r="E13" s="195" t="s">
        <v>21</v>
      </c>
      <c r="F13" s="196" t="s">
        <v>22</v>
      </c>
      <c r="G13" s="196" t="s">
        <v>23</v>
      </c>
      <c r="H13" s="184"/>
      <c r="I13" s="585"/>
      <c r="J13"/>
      <c r="K13" s="185"/>
    </row>
    <row r="14" spans="1:37" ht="17.100000000000001" customHeight="1" x14ac:dyDescent="0.3">
      <c r="A14" s="448">
        <v>1</v>
      </c>
      <c r="B14" s="611" t="s">
        <v>14</v>
      </c>
      <c r="C14" s="612"/>
      <c r="D14" s="612"/>
      <c r="E14" s="612"/>
      <c r="F14" s="612"/>
      <c r="G14" s="613"/>
      <c r="H14" s="184"/>
      <c r="I14" s="585"/>
      <c r="J14" s="194"/>
      <c r="K14" s="185"/>
    </row>
    <row r="15" spans="1:37" ht="17.100000000000001" customHeight="1" x14ac:dyDescent="0.3">
      <c r="A15" s="490">
        <v>1.1000000000000001</v>
      </c>
      <c r="B15" s="618" t="s">
        <v>252</v>
      </c>
      <c r="C15" s="619"/>
      <c r="D15" s="491" t="s">
        <v>236</v>
      </c>
      <c r="E15" s="492">
        <f>'MEMORIA DE CANTIDADES DE OBRA '!J23</f>
        <v>67.540000000000006</v>
      </c>
      <c r="F15" s="382">
        <f>APU!H42</f>
        <v>3483.34</v>
      </c>
      <c r="G15" s="481">
        <f t="shared" ref="G15:G21" si="0">ROUND(E15*F15,2)</f>
        <v>235264.78</v>
      </c>
      <c r="H15" s="184"/>
      <c r="I15" s="585"/>
      <c r="J15"/>
      <c r="K15" s="185"/>
    </row>
    <row r="16" spans="1:37" ht="17.100000000000001" customHeight="1" x14ac:dyDescent="0.3">
      <c r="A16" s="490">
        <v>1.2</v>
      </c>
      <c r="B16" s="618" t="s">
        <v>439</v>
      </c>
      <c r="C16" s="624"/>
      <c r="D16" s="491" t="s">
        <v>359</v>
      </c>
      <c r="E16" s="492">
        <f>+'MEMORIA DE CANTIDADES DE OBRA '!J32</f>
        <v>12</v>
      </c>
      <c r="F16" s="382">
        <f>+APU!H99</f>
        <v>9437.9500000000007</v>
      </c>
      <c r="G16" s="481">
        <f t="shared" si="0"/>
        <v>113255.4</v>
      </c>
      <c r="H16" s="184"/>
      <c r="I16" s="585"/>
      <c r="J16"/>
      <c r="K16" s="185"/>
    </row>
    <row r="17" spans="1:11" ht="17.100000000000001" customHeight="1" x14ac:dyDescent="0.3">
      <c r="A17" s="490">
        <v>1.3</v>
      </c>
      <c r="B17" s="618" t="s">
        <v>363</v>
      </c>
      <c r="C17" s="624"/>
      <c r="D17" s="491" t="s">
        <v>236</v>
      </c>
      <c r="E17" s="492">
        <f>'MEMORIA DE CANTIDADES DE OBRA '!J41</f>
        <v>26.46</v>
      </c>
      <c r="F17" s="382">
        <f>APU!H157</f>
        <v>102816.66</v>
      </c>
      <c r="G17" s="477">
        <f t="shared" si="0"/>
        <v>2720528.82</v>
      </c>
      <c r="H17" s="184"/>
      <c r="I17" s="585"/>
      <c r="J17"/>
      <c r="K17" s="185"/>
    </row>
    <row r="18" spans="1:11" ht="17.100000000000001" customHeight="1" x14ac:dyDescent="0.3">
      <c r="A18" s="490">
        <v>1.4</v>
      </c>
      <c r="B18" s="618" t="s">
        <v>297</v>
      </c>
      <c r="C18" s="624"/>
      <c r="D18" s="491" t="s">
        <v>236</v>
      </c>
      <c r="E18" s="492">
        <f>'MEMORIA DE CANTIDADES DE OBRA '!J51</f>
        <v>88.24</v>
      </c>
      <c r="F18" s="382">
        <f>APU!H212</f>
        <v>20410</v>
      </c>
      <c r="G18" s="477">
        <f t="shared" si="0"/>
        <v>1800978.4</v>
      </c>
      <c r="H18" s="184"/>
      <c r="I18" s="585"/>
      <c r="J18"/>
      <c r="K18" s="185"/>
    </row>
    <row r="19" spans="1:11" ht="17.100000000000001" customHeight="1" x14ac:dyDescent="0.3">
      <c r="A19" s="490">
        <v>1.5</v>
      </c>
      <c r="B19" s="618" t="s">
        <v>405</v>
      </c>
      <c r="C19" s="624"/>
      <c r="D19" s="491" t="s">
        <v>236</v>
      </c>
      <c r="E19" s="492">
        <f>'MEMORIA DE CANTIDADES DE OBRA '!J62</f>
        <v>6.6</v>
      </c>
      <c r="F19" s="382">
        <f>APU!H271</f>
        <v>20300</v>
      </c>
      <c r="G19" s="477">
        <f t="shared" si="0"/>
        <v>133980</v>
      </c>
      <c r="H19" s="184"/>
      <c r="I19" s="585"/>
      <c r="J19"/>
      <c r="K19" s="185"/>
    </row>
    <row r="20" spans="1:11" ht="17.100000000000001" customHeight="1" x14ac:dyDescent="0.3">
      <c r="A20" s="490">
        <v>1.6</v>
      </c>
      <c r="B20" s="618" t="s">
        <v>437</v>
      </c>
      <c r="C20" s="624"/>
      <c r="D20" s="491" t="s">
        <v>236</v>
      </c>
      <c r="E20" s="492">
        <f>+'MEMORIA DE CANTIDADES DE OBRA '!J71</f>
        <v>10.4</v>
      </c>
      <c r="F20" s="382">
        <f>+APU!H328</f>
        <v>33805.56</v>
      </c>
      <c r="G20" s="477">
        <f t="shared" si="0"/>
        <v>351577.82</v>
      </c>
      <c r="H20" s="184"/>
      <c r="I20" s="585"/>
      <c r="J20"/>
      <c r="K20" s="185"/>
    </row>
    <row r="21" spans="1:11" ht="16.2" customHeight="1" x14ac:dyDescent="0.3">
      <c r="A21" s="490">
        <v>1.7</v>
      </c>
      <c r="B21" s="623" t="s">
        <v>291</v>
      </c>
      <c r="C21" s="623"/>
      <c r="D21" s="491" t="s">
        <v>232</v>
      </c>
      <c r="E21" s="492">
        <f>'MEMORIA DE CANTIDADES DE OBRA '!J81</f>
        <v>31.08</v>
      </c>
      <c r="F21" s="382">
        <f>APU!H386</f>
        <v>39630</v>
      </c>
      <c r="G21" s="477">
        <f t="shared" si="0"/>
        <v>1231700.3999999999</v>
      </c>
      <c r="H21" s="184"/>
      <c r="I21" s="585"/>
      <c r="J21" s="194"/>
      <c r="K21" s="185"/>
    </row>
    <row r="22" spans="1:11" ht="17.100000000000001" customHeight="1" x14ac:dyDescent="0.3">
      <c r="A22" s="195"/>
      <c r="B22" s="620" t="s">
        <v>231</v>
      </c>
      <c r="C22" s="621"/>
      <c r="D22" s="621"/>
      <c r="E22" s="621"/>
      <c r="F22" s="622"/>
      <c r="G22" s="196">
        <f>ROUND((SUM(G15:G21)),2)</f>
        <v>6587285.6200000001</v>
      </c>
      <c r="H22" s="584">
        <v>0.32</v>
      </c>
      <c r="I22" s="585">
        <f>ROUND(G22*H22,2)</f>
        <v>2107931.4</v>
      </c>
      <c r="J22" s="590">
        <f>++I22+G22</f>
        <v>8695217.0199999996</v>
      </c>
      <c r="K22" s="185"/>
    </row>
    <row r="23" spans="1:11" ht="17.100000000000001" customHeight="1" x14ac:dyDescent="0.3">
      <c r="A23" s="448">
        <v>2</v>
      </c>
      <c r="B23" s="611" t="s">
        <v>248</v>
      </c>
      <c r="C23" s="612"/>
      <c r="D23" s="612"/>
      <c r="E23" s="612"/>
      <c r="F23" s="612"/>
      <c r="G23" s="613"/>
      <c r="H23" s="184"/>
      <c r="I23" s="585"/>
      <c r="J23" s="194"/>
      <c r="K23" s="185"/>
    </row>
    <row r="24" spans="1:11" ht="14.4" x14ac:dyDescent="0.3">
      <c r="A24" s="490">
        <v>2.1</v>
      </c>
      <c r="B24" s="614" t="s">
        <v>290</v>
      </c>
      <c r="C24" s="615"/>
      <c r="D24" s="491" t="s">
        <v>232</v>
      </c>
      <c r="E24" s="492">
        <f>'MEMORIA DE CANTIDADES DE OBRA '!J93</f>
        <v>0.78</v>
      </c>
      <c r="F24" s="382">
        <f>APU!H446</f>
        <v>45718.75</v>
      </c>
      <c r="G24" s="481">
        <f t="shared" ref="G24:G31" si="1">ROUND(E24*F24,2)</f>
        <v>35660.629999999997</v>
      </c>
      <c r="H24" s="184"/>
      <c r="I24" s="585"/>
      <c r="J24"/>
      <c r="K24" s="185"/>
    </row>
    <row r="25" spans="1:11" ht="14.4" x14ac:dyDescent="0.3">
      <c r="A25" s="490">
        <v>2.2000000000000002</v>
      </c>
      <c r="B25" s="614" t="s">
        <v>369</v>
      </c>
      <c r="C25" s="615"/>
      <c r="D25" s="491" t="s">
        <v>232</v>
      </c>
      <c r="E25" s="492">
        <f>'MEMORIA DE CANTIDADES DE OBRA '!J102</f>
        <v>0.77</v>
      </c>
      <c r="F25" s="382">
        <f>APU!H503</f>
        <v>100319.45</v>
      </c>
      <c r="G25" s="481">
        <f t="shared" si="1"/>
        <v>77245.98</v>
      </c>
      <c r="H25" s="184"/>
      <c r="I25" s="585"/>
      <c r="J25"/>
      <c r="K25" s="185"/>
    </row>
    <row r="26" spans="1:11" ht="17.100000000000001" customHeight="1" x14ac:dyDescent="0.3">
      <c r="A26" s="490">
        <v>2.2999999999999998</v>
      </c>
      <c r="B26" s="616" t="s">
        <v>249</v>
      </c>
      <c r="C26" s="617"/>
      <c r="D26" s="491" t="s">
        <v>236</v>
      </c>
      <c r="E26" s="492">
        <f>'MEMORIA DE CANTIDADES DE OBRA '!J111</f>
        <v>1.1200000000000001</v>
      </c>
      <c r="F26" s="382">
        <f>APU!H558</f>
        <v>43919.75</v>
      </c>
      <c r="G26" s="481">
        <f t="shared" si="1"/>
        <v>49190.12</v>
      </c>
      <c r="H26" s="184"/>
      <c r="I26" s="585"/>
      <c r="K26" s="185"/>
    </row>
    <row r="27" spans="1:11" ht="17.100000000000001" customHeight="1" x14ac:dyDescent="0.3">
      <c r="A27" s="490">
        <v>2.4</v>
      </c>
      <c r="B27" s="605" t="s">
        <v>375</v>
      </c>
      <c r="C27" s="647"/>
      <c r="D27" s="491" t="s">
        <v>232</v>
      </c>
      <c r="E27" s="492">
        <f>'MEMORIA DE CANTIDADES DE OBRA '!J121</f>
        <v>0.28000000000000003</v>
      </c>
      <c r="F27" s="382">
        <f>APU!H613</f>
        <v>1353271</v>
      </c>
      <c r="G27" s="477">
        <f t="shared" si="1"/>
        <v>378915.88</v>
      </c>
      <c r="H27" s="184"/>
      <c r="I27" s="585"/>
      <c r="K27" s="185"/>
    </row>
    <row r="28" spans="1:11" ht="17.100000000000001" customHeight="1" x14ac:dyDescent="0.3">
      <c r="A28" s="490">
        <v>2.5</v>
      </c>
      <c r="B28" s="605" t="s">
        <v>294</v>
      </c>
      <c r="C28" s="647"/>
      <c r="D28" s="491" t="s">
        <v>232</v>
      </c>
      <c r="E28" s="492">
        <f>'MEMORIA DE CANTIDADES DE OBRA '!J131</f>
        <v>0.39</v>
      </c>
      <c r="F28" s="382">
        <f>APU!H668</f>
        <v>1353271</v>
      </c>
      <c r="G28" s="481">
        <f t="shared" si="1"/>
        <v>527775.68999999994</v>
      </c>
      <c r="H28" s="184"/>
      <c r="I28" s="585"/>
      <c r="K28" s="185"/>
    </row>
    <row r="29" spans="1:11" ht="17.100000000000001" customHeight="1" x14ac:dyDescent="0.3">
      <c r="A29" s="490">
        <v>2.6</v>
      </c>
      <c r="B29" s="605" t="s">
        <v>250</v>
      </c>
      <c r="C29" s="647"/>
      <c r="D29" s="491" t="s">
        <v>242</v>
      </c>
      <c r="E29" s="492">
        <f>'MEMORIA DE CANTIDADES DE OBRA '!J146</f>
        <v>159.11000000000001</v>
      </c>
      <c r="F29" s="382">
        <f>APU!H723</f>
        <v>14156.5</v>
      </c>
      <c r="G29" s="481">
        <f t="shared" si="1"/>
        <v>2252440.7200000002</v>
      </c>
      <c r="H29" s="184"/>
      <c r="I29" s="585"/>
      <c r="J29" s="183"/>
      <c r="K29" s="185"/>
    </row>
    <row r="30" spans="1:11" ht="17.100000000000001" customHeight="1" x14ac:dyDescent="0.3">
      <c r="A30" s="490">
        <v>2.7</v>
      </c>
      <c r="B30" s="605" t="s">
        <v>251</v>
      </c>
      <c r="C30" s="647"/>
      <c r="D30" s="491" t="s">
        <v>232</v>
      </c>
      <c r="E30" s="492">
        <f>'MEMORIA DE CANTIDADES DE OBRA '!J155</f>
        <v>0.22</v>
      </c>
      <c r="F30" s="382">
        <f>APU!H782</f>
        <v>1686591.8</v>
      </c>
      <c r="G30" s="481">
        <f t="shared" si="1"/>
        <v>371050.2</v>
      </c>
      <c r="H30" s="184"/>
      <c r="I30" s="585"/>
      <c r="J30" s="183"/>
      <c r="K30" s="185"/>
    </row>
    <row r="31" spans="1:11" ht="17.100000000000001" customHeight="1" x14ac:dyDescent="0.3">
      <c r="A31" s="490">
        <v>2.8</v>
      </c>
      <c r="B31" s="605" t="s">
        <v>466</v>
      </c>
      <c r="C31" s="647"/>
      <c r="D31" s="491" t="s">
        <v>236</v>
      </c>
      <c r="E31" s="492">
        <f>'MEMORIA DE CANTIDADES DE OBRA '!J165</f>
        <v>11.44</v>
      </c>
      <c r="F31" s="382">
        <f>APU!H840</f>
        <v>103718.62</v>
      </c>
      <c r="G31" s="477">
        <f t="shared" si="1"/>
        <v>1186541.01</v>
      </c>
      <c r="H31" s="184"/>
      <c r="I31" s="585"/>
      <c r="J31" s="183"/>
      <c r="K31" s="185"/>
    </row>
    <row r="32" spans="1:11" ht="17.100000000000001" customHeight="1" x14ac:dyDescent="0.3">
      <c r="A32" s="195"/>
      <c r="B32" s="620" t="s">
        <v>231</v>
      </c>
      <c r="C32" s="621"/>
      <c r="D32" s="621"/>
      <c r="E32" s="621"/>
      <c r="F32" s="622"/>
      <c r="G32" s="196">
        <f>ROUND((SUM(G24:G31)),2)</f>
        <v>4878820.2300000004</v>
      </c>
      <c r="H32" s="584">
        <v>0.32</v>
      </c>
      <c r="I32" s="585">
        <f>ROUND(G32*H32,2)</f>
        <v>1561222.47</v>
      </c>
      <c r="J32" s="590">
        <f>++I32+G32</f>
        <v>6440042.7000000002</v>
      </c>
      <c r="K32" s="185"/>
    </row>
    <row r="33" spans="1:26" ht="17.100000000000001" customHeight="1" x14ac:dyDescent="0.3">
      <c r="A33" s="448">
        <v>3</v>
      </c>
      <c r="B33" s="611" t="s">
        <v>296</v>
      </c>
      <c r="C33" s="612"/>
      <c r="D33" s="612"/>
      <c r="E33" s="612"/>
      <c r="F33" s="612"/>
      <c r="G33" s="613"/>
      <c r="H33" s="184"/>
      <c r="I33" s="585"/>
      <c r="J33" s="183"/>
      <c r="L33" s="187"/>
      <c r="M33" s="187"/>
      <c r="N33" s="187"/>
      <c r="O33" s="187"/>
      <c r="P33" s="187"/>
      <c r="Q33" s="187"/>
      <c r="U33" s="188"/>
      <c r="V33" s="188"/>
      <c r="W33" s="188"/>
      <c r="X33" s="188"/>
      <c r="Y33" s="188"/>
      <c r="Z33" s="188"/>
    </row>
    <row r="34" spans="1:26" ht="28.95" customHeight="1" x14ac:dyDescent="0.3">
      <c r="A34" s="490">
        <v>3.1</v>
      </c>
      <c r="B34" s="648" t="s">
        <v>321</v>
      </c>
      <c r="C34" s="649"/>
      <c r="D34" s="491" t="s">
        <v>236</v>
      </c>
      <c r="E34" s="492">
        <f>'MEMORIA DE CANTIDADES DE OBRA '!J196</f>
        <v>5.88</v>
      </c>
      <c r="F34" s="382">
        <f>APU!H898</f>
        <v>41458.480000000003</v>
      </c>
      <c r="G34" s="477">
        <f>ROUND(E34*F34,2)</f>
        <v>243775.86</v>
      </c>
      <c r="H34" s="184"/>
      <c r="I34" s="585"/>
      <c r="J34" s="183"/>
      <c r="K34" s="185"/>
    </row>
    <row r="35" spans="1:26" ht="14.4" x14ac:dyDescent="0.3">
      <c r="A35" s="195">
        <v>3.2</v>
      </c>
      <c r="B35" s="605" t="s">
        <v>355</v>
      </c>
      <c r="C35" s="647"/>
      <c r="D35" s="190" t="s">
        <v>236</v>
      </c>
      <c r="E35" s="189">
        <f>'MEMORIA DE CANTIDADES DE OBRA '!J206</f>
        <v>32.340000000000003</v>
      </c>
      <c r="F35" s="382">
        <f>APU!H954</f>
        <v>118250</v>
      </c>
      <c r="G35" s="477">
        <f>ROUND(E35*F35,2)</f>
        <v>3824205</v>
      </c>
      <c r="H35" s="184"/>
      <c r="I35" s="585"/>
      <c r="J35" s="183"/>
      <c r="K35" s="185"/>
    </row>
    <row r="36" spans="1:26" ht="14.4" x14ac:dyDescent="0.3">
      <c r="A36" s="195">
        <v>3.3</v>
      </c>
      <c r="B36" s="654" t="s">
        <v>356</v>
      </c>
      <c r="C36" s="654"/>
      <c r="D36" s="190" t="s">
        <v>359</v>
      </c>
      <c r="E36" s="189">
        <f>'MEMORIA DE CANTIDADES DE OBRA '!J216</f>
        <v>26.6</v>
      </c>
      <c r="F36" s="382">
        <f>APU!H1009</f>
        <v>16275</v>
      </c>
      <c r="G36" s="477">
        <f>ROUND(E36*F36,2)</f>
        <v>432915</v>
      </c>
      <c r="H36" s="184"/>
      <c r="I36" s="585"/>
      <c r="J36" s="183"/>
      <c r="K36" s="185"/>
    </row>
    <row r="37" spans="1:26" ht="17.100000000000001" customHeight="1" x14ac:dyDescent="0.3">
      <c r="A37" s="195"/>
      <c r="B37" s="620" t="s">
        <v>231</v>
      </c>
      <c r="C37" s="621"/>
      <c r="D37" s="621"/>
      <c r="E37" s="621"/>
      <c r="F37" s="622"/>
      <c r="G37" s="196">
        <f>ROUND((SUM(G34:G36)),2)</f>
        <v>4500895.8600000003</v>
      </c>
      <c r="H37" s="584">
        <v>0.32</v>
      </c>
      <c r="I37" s="585">
        <f>ROUND(G37*H37,2)</f>
        <v>1440286.68</v>
      </c>
      <c r="J37" s="590">
        <f>++I37+G37</f>
        <v>5941182.54</v>
      </c>
      <c r="K37" s="185"/>
    </row>
    <row r="38" spans="1:26" ht="17.100000000000001" customHeight="1" x14ac:dyDescent="0.3">
      <c r="A38" s="448">
        <v>4</v>
      </c>
      <c r="B38" s="611" t="s">
        <v>289</v>
      </c>
      <c r="C38" s="612"/>
      <c r="D38" s="612"/>
      <c r="E38" s="612"/>
      <c r="F38" s="612"/>
      <c r="G38" s="613"/>
      <c r="H38" s="184"/>
      <c r="I38" s="585"/>
      <c r="J38" s="183"/>
      <c r="L38" s="187"/>
      <c r="M38" s="187"/>
      <c r="N38" s="187"/>
      <c r="O38" s="187"/>
      <c r="P38" s="187"/>
      <c r="Q38" s="187"/>
      <c r="U38" s="188"/>
      <c r="V38" s="188"/>
      <c r="W38" s="188"/>
      <c r="X38" s="188"/>
      <c r="Y38" s="188"/>
      <c r="Z38" s="188"/>
    </row>
    <row r="39" spans="1:26" ht="30" customHeight="1" x14ac:dyDescent="0.3">
      <c r="A39" s="490">
        <v>4.0999999999999996</v>
      </c>
      <c r="B39" s="648" t="s">
        <v>414</v>
      </c>
      <c r="C39" s="649"/>
      <c r="D39" s="491" t="s">
        <v>242</v>
      </c>
      <c r="E39" s="492">
        <f>'MEMORIA DE CANTIDADES DE OBRA '!J228</f>
        <v>43.6</v>
      </c>
      <c r="F39" s="382">
        <f>APU!H1070</f>
        <v>26940</v>
      </c>
      <c r="G39" s="481">
        <f>ROUND(E39*F39,2)</f>
        <v>1174584</v>
      </c>
      <c r="H39" s="184"/>
      <c r="I39" s="585"/>
      <c r="J39" s="183"/>
      <c r="K39" s="185"/>
    </row>
    <row r="40" spans="1:26" ht="17.100000000000001" customHeight="1" x14ac:dyDescent="0.3">
      <c r="A40" s="490">
        <v>4.2</v>
      </c>
      <c r="B40" s="605" t="s">
        <v>388</v>
      </c>
      <c r="C40" s="647"/>
      <c r="D40" s="491" t="s">
        <v>236</v>
      </c>
      <c r="E40" s="492">
        <f>'MEMORIA DE CANTIDADES DE OBRA '!J238</f>
        <v>65.680000000000007</v>
      </c>
      <c r="F40" s="382">
        <f>APU!H1126</f>
        <v>60810.559999999998</v>
      </c>
      <c r="G40" s="481">
        <f>ROUND(E40*F40,2)</f>
        <v>3994037.58</v>
      </c>
      <c r="H40" s="184"/>
      <c r="I40" s="585"/>
      <c r="J40" s="183"/>
      <c r="K40" s="185"/>
    </row>
    <row r="41" spans="1:26" ht="17.100000000000001" customHeight="1" x14ac:dyDescent="0.3">
      <c r="A41" s="490">
        <v>4.3</v>
      </c>
      <c r="B41" s="605" t="s">
        <v>406</v>
      </c>
      <c r="C41" s="606"/>
      <c r="D41" s="491" t="s">
        <v>152</v>
      </c>
      <c r="E41" s="492">
        <f>+'MEMORIA DE CANTIDADES DE OBRA '!J248</f>
        <v>9</v>
      </c>
      <c r="F41" s="382">
        <f>+APU!H1184</f>
        <v>56668.89</v>
      </c>
      <c r="G41" s="481">
        <f>ROUND(E41*F41,2)</f>
        <v>510020.01</v>
      </c>
      <c r="H41" s="184"/>
      <c r="I41" s="585"/>
      <c r="J41" s="183"/>
      <c r="K41" s="185"/>
    </row>
    <row r="42" spans="1:26" ht="17.100000000000001" customHeight="1" x14ac:dyDescent="0.3">
      <c r="A42" s="195"/>
      <c r="B42" s="620" t="s">
        <v>231</v>
      </c>
      <c r="C42" s="621"/>
      <c r="D42" s="621"/>
      <c r="E42" s="621"/>
      <c r="F42" s="622"/>
      <c r="G42" s="196">
        <f>ROUND((SUM(G39:G41)),2)</f>
        <v>5678641.5899999999</v>
      </c>
      <c r="H42" s="584">
        <v>0.32</v>
      </c>
      <c r="I42" s="585">
        <f>ROUND(G42*H42,2)</f>
        <v>1817165.31</v>
      </c>
      <c r="J42" s="590">
        <f>++I42+G42</f>
        <v>7495806.9000000004</v>
      </c>
      <c r="K42" s="185"/>
    </row>
    <row r="43" spans="1:26" ht="17.100000000000001" customHeight="1" x14ac:dyDescent="0.3">
      <c r="A43" s="448">
        <v>5</v>
      </c>
      <c r="B43" s="611" t="s">
        <v>292</v>
      </c>
      <c r="C43" s="612"/>
      <c r="D43" s="612"/>
      <c r="E43" s="612"/>
      <c r="F43" s="612"/>
      <c r="G43" s="613"/>
      <c r="H43" s="184"/>
      <c r="I43" s="585"/>
      <c r="J43" s="183"/>
      <c r="L43" s="187"/>
      <c r="M43" s="187"/>
      <c r="N43" s="187"/>
      <c r="O43" s="187"/>
      <c r="P43" s="187"/>
      <c r="Q43" s="187"/>
      <c r="U43" s="188"/>
      <c r="V43" s="188"/>
      <c r="W43" s="188"/>
      <c r="X43" s="188"/>
      <c r="Y43" s="188"/>
      <c r="Z43" s="188"/>
    </row>
    <row r="44" spans="1:26" ht="14.4" x14ac:dyDescent="0.3">
      <c r="A44" s="490">
        <v>5.0999999999999996</v>
      </c>
      <c r="B44" s="648" t="s">
        <v>293</v>
      </c>
      <c r="C44" s="649"/>
      <c r="D44" s="491" t="s">
        <v>236</v>
      </c>
      <c r="E44" s="492">
        <f>'MEMORIA DE CANTIDADES DE OBRA '!J260</f>
        <v>147.63</v>
      </c>
      <c r="F44" s="382">
        <f>APU!H1241</f>
        <v>54143.75</v>
      </c>
      <c r="G44" s="481">
        <f t="shared" ref="G44:G48" si="2">ROUND(E44*F44,2)</f>
        <v>7993241.8099999996</v>
      </c>
      <c r="H44" s="184"/>
      <c r="I44" s="585"/>
      <c r="J44" s="183"/>
      <c r="K44" s="185"/>
    </row>
    <row r="45" spans="1:26" ht="17.100000000000001" customHeight="1" x14ac:dyDescent="0.3">
      <c r="A45" s="490">
        <v>5.2</v>
      </c>
      <c r="B45" s="605" t="s">
        <v>325</v>
      </c>
      <c r="C45" s="647"/>
      <c r="D45" s="491" t="s">
        <v>236</v>
      </c>
      <c r="E45" s="492">
        <f>'MEMORIA DE CANTIDADES DE OBRA '!J271</f>
        <v>147.63</v>
      </c>
      <c r="F45" s="382">
        <f>APU!H1299</f>
        <v>14651.32</v>
      </c>
      <c r="G45" s="481">
        <f t="shared" si="2"/>
        <v>2162974.37</v>
      </c>
      <c r="H45" s="184"/>
      <c r="I45" s="585"/>
      <c r="J45" s="183"/>
      <c r="K45" s="185"/>
    </row>
    <row r="46" spans="1:26" ht="28.2" customHeight="1" x14ac:dyDescent="0.3">
      <c r="A46" s="490">
        <v>5.3</v>
      </c>
      <c r="B46" s="603" t="s">
        <v>410</v>
      </c>
      <c r="C46" s="604"/>
      <c r="D46" s="491" t="s">
        <v>152</v>
      </c>
      <c r="E46" s="492">
        <f>'MEMORIA DE CANTIDADES DE OBRA '!J281</f>
        <v>1</v>
      </c>
      <c r="F46" s="382">
        <f>+APU!H1356</f>
        <v>1341437.5</v>
      </c>
      <c r="G46" s="481">
        <f t="shared" si="2"/>
        <v>1341437.5</v>
      </c>
      <c r="H46" s="184"/>
      <c r="I46" s="585"/>
      <c r="J46" s="183"/>
      <c r="K46" s="185"/>
    </row>
    <row r="47" spans="1:26" ht="28.2" customHeight="1" x14ac:dyDescent="0.3">
      <c r="A47" s="490">
        <v>5.4</v>
      </c>
      <c r="B47" s="603" t="s">
        <v>412</v>
      </c>
      <c r="C47" s="604"/>
      <c r="D47" s="491" t="s">
        <v>152</v>
      </c>
      <c r="E47" s="492">
        <f>'MEMORIA DE CANTIDADES DE OBRA '!J291</f>
        <v>1</v>
      </c>
      <c r="F47" s="382">
        <f>+APU!H1414</f>
        <v>691437.5</v>
      </c>
      <c r="G47" s="481">
        <f t="shared" si="2"/>
        <v>691437.5</v>
      </c>
      <c r="H47" s="184"/>
      <c r="I47" s="585"/>
      <c r="J47" s="183"/>
      <c r="K47" s="185"/>
    </row>
    <row r="48" spans="1:26" ht="25.95" customHeight="1" x14ac:dyDescent="0.3">
      <c r="A48" s="490">
        <v>5.5</v>
      </c>
      <c r="B48" s="603" t="s">
        <v>435</v>
      </c>
      <c r="C48" s="604"/>
      <c r="D48" s="491" t="s">
        <v>152</v>
      </c>
      <c r="E48" s="492">
        <f>'MEMORIA DE CANTIDADES DE OBRA '!J301</f>
        <v>1</v>
      </c>
      <c r="F48" s="382">
        <f>APU!H1472</f>
        <v>1041437.5</v>
      </c>
      <c r="G48" s="481">
        <f t="shared" si="2"/>
        <v>1041437.5</v>
      </c>
      <c r="H48" s="184"/>
      <c r="I48" s="585"/>
      <c r="J48" s="183"/>
      <c r="K48" s="185"/>
    </row>
    <row r="49" spans="1:26" ht="25.95" customHeight="1" x14ac:dyDescent="0.3">
      <c r="A49" s="490">
        <v>5.6</v>
      </c>
      <c r="B49" s="603" t="s">
        <v>411</v>
      </c>
      <c r="C49" s="604"/>
      <c r="D49" s="491" t="s">
        <v>152</v>
      </c>
      <c r="E49" s="492">
        <f>+'MEMORIA DE CANTIDADES DE OBRA '!J311</f>
        <v>1</v>
      </c>
      <c r="F49" s="382">
        <f>+APU!H1529</f>
        <v>1041437.5</v>
      </c>
      <c r="G49" s="481">
        <f t="shared" ref="G49" si="3">ROUND(E49*F49,2)</f>
        <v>1041437.5</v>
      </c>
      <c r="H49" s="184"/>
      <c r="I49" s="585"/>
      <c r="J49" s="183"/>
      <c r="K49" s="185"/>
    </row>
    <row r="50" spans="1:26" ht="16.2" customHeight="1" x14ac:dyDescent="0.3">
      <c r="A50" s="195"/>
      <c r="B50" s="620" t="s">
        <v>231</v>
      </c>
      <c r="C50" s="621"/>
      <c r="D50" s="621"/>
      <c r="E50" s="621"/>
      <c r="F50" s="622"/>
      <c r="G50" s="196">
        <f>ROUND((SUM(G44:G49)),2)</f>
        <v>14271966.18</v>
      </c>
      <c r="H50" s="584">
        <v>0.32</v>
      </c>
      <c r="I50" s="585">
        <f>ROUND(G50*H50,2)</f>
        <v>4567029.18</v>
      </c>
      <c r="J50" s="590">
        <f>++I50+G50</f>
        <v>18838995.359999999</v>
      </c>
      <c r="K50" s="185"/>
    </row>
    <row r="51" spans="1:26" ht="17.100000000000001" customHeight="1" x14ac:dyDescent="0.3">
      <c r="A51" s="448">
        <v>6</v>
      </c>
      <c r="B51" s="611" t="s">
        <v>295</v>
      </c>
      <c r="C51" s="612"/>
      <c r="D51" s="612"/>
      <c r="E51" s="612"/>
      <c r="F51" s="612"/>
      <c r="G51" s="613"/>
      <c r="H51" s="184"/>
      <c r="I51" s="585"/>
      <c r="J51" s="183"/>
      <c r="L51" s="187"/>
      <c r="M51" s="187"/>
      <c r="N51" s="187"/>
      <c r="O51" s="187"/>
      <c r="P51" s="187"/>
      <c r="Q51" s="187"/>
      <c r="U51" s="188"/>
      <c r="V51" s="188"/>
      <c r="W51" s="188"/>
      <c r="X51" s="188"/>
      <c r="Y51" s="188"/>
      <c r="Z51" s="188"/>
    </row>
    <row r="52" spans="1:26" ht="29.25" customHeight="1" x14ac:dyDescent="0.3">
      <c r="A52" s="490">
        <v>6.1</v>
      </c>
      <c r="B52" s="648" t="s">
        <v>328</v>
      </c>
      <c r="C52" s="649"/>
      <c r="D52" s="491" t="s">
        <v>152</v>
      </c>
      <c r="E52" s="492">
        <f>+'MEMORIA DE CANTIDADES DE OBRA '!D318</f>
        <v>2</v>
      </c>
      <c r="F52" s="382">
        <f>+APU!H1587</f>
        <v>35383.33</v>
      </c>
      <c r="G52" s="481">
        <f>ROUND(E52*F52,2)</f>
        <v>70766.66</v>
      </c>
      <c r="H52" s="184"/>
      <c r="I52" s="586"/>
      <c r="J52" s="183"/>
      <c r="K52" s="185"/>
      <c r="L52" s="183"/>
      <c r="M52" s="183"/>
      <c r="N52" s="183"/>
      <c r="O52" s="183"/>
      <c r="P52" s="183"/>
      <c r="Q52" s="183"/>
    </row>
    <row r="53" spans="1:26" ht="34.950000000000003" customHeight="1" x14ac:dyDescent="0.3">
      <c r="A53" s="518">
        <v>6.2</v>
      </c>
      <c r="B53" s="648" t="s">
        <v>416</v>
      </c>
      <c r="C53" s="649"/>
      <c r="D53" s="491" t="s">
        <v>152</v>
      </c>
      <c r="E53" s="492">
        <f>+'MEMORIA DE CANTIDADES DE OBRA '!D328</f>
        <v>2</v>
      </c>
      <c r="F53" s="382">
        <f>+APU!H1645</f>
        <v>149118.75</v>
      </c>
      <c r="G53" s="481">
        <f t="shared" ref="G53:G54" si="4">ROUND(E53*F53,2)</f>
        <v>298237.5</v>
      </c>
      <c r="H53" s="184"/>
      <c r="I53" s="586"/>
      <c r="J53" s="183"/>
      <c r="K53" s="185"/>
      <c r="L53" s="183"/>
      <c r="M53" s="183"/>
      <c r="N53" s="183"/>
      <c r="O53" s="183"/>
      <c r="P53" s="183"/>
      <c r="Q53" s="183"/>
    </row>
    <row r="54" spans="1:26" ht="29.25" customHeight="1" x14ac:dyDescent="0.3">
      <c r="A54" s="490">
        <v>6.3</v>
      </c>
      <c r="B54" s="648" t="s">
        <v>415</v>
      </c>
      <c r="C54" s="649"/>
      <c r="D54" s="491" t="s">
        <v>152</v>
      </c>
      <c r="E54" s="492">
        <f>+'MEMORIA DE CANTIDADES DE OBRA '!D338</f>
        <v>3</v>
      </c>
      <c r="F54" s="382">
        <f>+APU!H1707</f>
        <v>281980</v>
      </c>
      <c r="G54" s="481">
        <f t="shared" si="4"/>
        <v>845940</v>
      </c>
      <c r="H54" s="184"/>
      <c r="I54" s="586"/>
      <c r="J54" s="183"/>
      <c r="K54" s="185"/>
      <c r="L54" s="183"/>
      <c r="M54" s="183"/>
      <c r="N54" s="183"/>
      <c r="O54" s="183"/>
      <c r="P54" s="183"/>
      <c r="Q54" s="183"/>
    </row>
    <row r="55" spans="1:26" ht="30.6" customHeight="1" x14ac:dyDescent="0.3">
      <c r="A55" s="195"/>
      <c r="B55" s="620" t="s">
        <v>231</v>
      </c>
      <c r="C55" s="621"/>
      <c r="D55" s="621"/>
      <c r="E55" s="621"/>
      <c r="F55" s="622"/>
      <c r="G55" s="196">
        <f>ROUND((SUM(G52:G54)),2)</f>
        <v>1214944.1599999999</v>
      </c>
      <c r="H55" s="584">
        <v>0.32</v>
      </c>
      <c r="I55" s="585">
        <f>ROUND(G55*H55,2)</f>
        <v>388782.13</v>
      </c>
      <c r="J55" s="590">
        <f>++I55+G55</f>
        <v>1603726.29</v>
      </c>
      <c r="K55" s="185"/>
      <c r="L55" s="183"/>
      <c r="M55" s="183"/>
      <c r="N55" s="183"/>
      <c r="O55" s="183"/>
      <c r="P55" s="183"/>
      <c r="Q55" s="183"/>
    </row>
    <row r="56" spans="1:26" ht="17.100000000000001" customHeight="1" x14ac:dyDescent="0.3">
      <c r="A56" s="650" t="s">
        <v>25</v>
      </c>
      <c r="B56" s="651"/>
      <c r="C56" s="651"/>
      <c r="D56" s="651"/>
      <c r="E56" s="651"/>
      <c r="F56" s="652"/>
      <c r="G56" s="478">
        <f>G22+G32+G37+G42+G50+G55</f>
        <v>37132553.640000001</v>
      </c>
      <c r="H56" s="184"/>
      <c r="I56" s="585"/>
    </row>
    <row r="57" spans="1:26" ht="17.100000000000001" customHeight="1" x14ac:dyDescent="0.3">
      <c r="A57" s="653" t="s">
        <v>178</v>
      </c>
      <c r="B57" s="653"/>
      <c r="C57" s="653"/>
      <c r="D57" s="653"/>
      <c r="E57" s="653"/>
      <c r="F57" s="480">
        <v>0.28000000000000003</v>
      </c>
      <c r="G57" s="477">
        <f>ROUND((G56*F57),2)</f>
        <v>10397115.02</v>
      </c>
      <c r="I57" s="587"/>
      <c r="J57" s="180">
        <f>SUM(J16:J55)</f>
        <v>49014970.809999995</v>
      </c>
    </row>
    <row r="58" spans="1:26" ht="17.100000000000001" customHeight="1" x14ac:dyDescent="0.3">
      <c r="A58" s="653" t="s">
        <v>61</v>
      </c>
      <c r="B58" s="653"/>
      <c r="C58" s="653"/>
      <c r="D58" s="653"/>
      <c r="E58" s="653"/>
      <c r="F58" s="480">
        <v>0.01</v>
      </c>
      <c r="G58" s="477">
        <f>ROUND((G56*F58),2)</f>
        <v>371325.54</v>
      </c>
      <c r="I58" s="587"/>
    </row>
    <row r="59" spans="1:26" ht="17.100000000000001" customHeight="1" x14ac:dyDescent="0.3">
      <c r="A59" s="653" t="s">
        <v>62</v>
      </c>
      <c r="B59" s="653"/>
      <c r="C59" s="653"/>
      <c r="D59" s="653"/>
      <c r="E59" s="653"/>
      <c r="F59" s="480">
        <v>0.03</v>
      </c>
      <c r="G59" s="477">
        <f>ROUND((G56*F59),2)</f>
        <v>1113976.6100000001</v>
      </c>
      <c r="H59" s="191"/>
    </row>
    <row r="60" spans="1:26" ht="17.100000000000001" customHeight="1" x14ac:dyDescent="0.3">
      <c r="A60" s="644" t="s">
        <v>145</v>
      </c>
      <c r="B60" s="645"/>
      <c r="C60" s="645"/>
      <c r="D60" s="645"/>
      <c r="E60" s="645"/>
      <c r="F60" s="646"/>
      <c r="G60" s="478">
        <f>SUM(G57:G59)</f>
        <v>11882417.169999998</v>
      </c>
      <c r="H60" s="191"/>
    </row>
    <row r="61" spans="1:26" ht="17.100000000000001" customHeight="1" x14ac:dyDescent="0.3">
      <c r="A61" s="658" t="s">
        <v>74</v>
      </c>
      <c r="B61" s="659"/>
      <c r="C61" s="659"/>
      <c r="D61" s="659"/>
      <c r="E61" s="659"/>
      <c r="F61" s="660"/>
      <c r="G61" s="478">
        <f>G56+G60</f>
        <v>49014970.810000002</v>
      </c>
      <c r="H61" s="356" t="s">
        <v>237</v>
      </c>
      <c r="I61" s="588">
        <f>I58-G61</f>
        <v>-49014970.810000002</v>
      </c>
    </row>
    <row r="62" spans="1:26" ht="17.100000000000001" customHeight="1" x14ac:dyDescent="0.3">
      <c r="A62" s="197"/>
      <c r="B62" s="197"/>
      <c r="C62" s="197"/>
      <c r="D62" s="197"/>
      <c r="E62" s="197"/>
      <c r="F62" s="479"/>
      <c r="G62" s="198"/>
    </row>
    <row r="63" spans="1:26" x14ac:dyDescent="0.3">
      <c r="F63" s="58"/>
      <c r="G63" s="58"/>
    </row>
    <row r="64" spans="1:26" x14ac:dyDescent="0.3">
      <c r="A64" s="661"/>
      <c r="B64" s="661"/>
      <c r="C64" s="661"/>
      <c r="E64" s="541"/>
      <c r="F64" s="59"/>
      <c r="G64" s="58"/>
      <c r="H64" s="192"/>
      <c r="I64" s="589"/>
    </row>
    <row r="65" spans="1:7" ht="15" customHeight="1" x14ac:dyDescent="0.3">
      <c r="A65" s="56"/>
      <c r="B65" s="56"/>
      <c r="D65" s="655" t="s">
        <v>230</v>
      </c>
      <c r="E65" s="655"/>
      <c r="F65" s="655"/>
      <c r="G65" s="655"/>
    </row>
    <row r="66" spans="1:7" ht="14.4" customHeight="1" x14ac:dyDescent="0.3">
      <c r="A66" s="56"/>
      <c r="B66" s="56"/>
      <c r="D66" s="656" t="s">
        <v>177</v>
      </c>
      <c r="E66" s="656"/>
      <c r="F66" s="656"/>
      <c r="G66" s="656"/>
    </row>
    <row r="67" spans="1:7" ht="24" customHeight="1" x14ac:dyDescent="0.3">
      <c r="A67" s="322"/>
      <c r="D67" s="657" t="s">
        <v>153</v>
      </c>
      <c r="E67" s="657"/>
      <c r="F67" s="657"/>
      <c r="G67" s="657"/>
    </row>
    <row r="68" spans="1:7" ht="15" customHeight="1" x14ac:dyDescent="0.3">
      <c r="A68" s="60"/>
      <c r="D68" s="325"/>
    </row>
  </sheetData>
  <mergeCells count="64">
    <mergeCell ref="D65:G65"/>
    <mergeCell ref="D66:G66"/>
    <mergeCell ref="D67:G67"/>
    <mergeCell ref="A61:F61"/>
    <mergeCell ref="A64:C64"/>
    <mergeCell ref="A56:F56"/>
    <mergeCell ref="A57:E57"/>
    <mergeCell ref="A58:E58"/>
    <mergeCell ref="A59:E59"/>
    <mergeCell ref="B27:C27"/>
    <mergeCell ref="B31:C31"/>
    <mergeCell ref="B52:C52"/>
    <mergeCell ref="B36:C36"/>
    <mergeCell ref="B37:F37"/>
    <mergeCell ref="B42:F42"/>
    <mergeCell ref="B50:F50"/>
    <mergeCell ref="B48:C48"/>
    <mergeCell ref="B43:G43"/>
    <mergeCell ref="B44:C44"/>
    <mergeCell ref="B45:C45"/>
    <mergeCell ref="B40:C40"/>
    <mergeCell ref="B25:C25"/>
    <mergeCell ref="B55:F55"/>
    <mergeCell ref="A60:F60"/>
    <mergeCell ref="B28:C28"/>
    <mergeCell ref="B29:C29"/>
    <mergeCell ref="B30:C30"/>
    <mergeCell ref="B47:C47"/>
    <mergeCell ref="B38:G38"/>
    <mergeCell ref="B39:C39"/>
    <mergeCell ref="B35:C35"/>
    <mergeCell ref="B32:F32"/>
    <mergeCell ref="B33:G33"/>
    <mergeCell ref="B34:C34"/>
    <mergeCell ref="B53:C53"/>
    <mergeCell ref="B54:C54"/>
    <mergeCell ref="B51:G51"/>
    <mergeCell ref="B16:C16"/>
    <mergeCell ref="D1:E1"/>
    <mergeCell ref="A8:G9"/>
    <mergeCell ref="G1:G6"/>
    <mergeCell ref="D2:E3"/>
    <mergeCell ref="F2:F3"/>
    <mergeCell ref="D4:E4"/>
    <mergeCell ref="C5:C6"/>
    <mergeCell ref="D5:E6"/>
    <mergeCell ref="A1:B6"/>
    <mergeCell ref="C1:C2"/>
    <mergeCell ref="B46:C46"/>
    <mergeCell ref="B41:C41"/>
    <mergeCell ref="B49:C49"/>
    <mergeCell ref="A11:G11"/>
    <mergeCell ref="B13:C13"/>
    <mergeCell ref="B23:G23"/>
    <mergeCell ref="B24:C24"/>
    <mergeCell ref="B26:C26"/>
    <mergeCell ref="B15:C15"/>
    <mergeCell ref="B14:G14"/>
    <mergeCell ref="B22:F22"/>
    <mergeCell ref="B21:C21"/>
    <mergeCell ref="B17:C17"/>
    <mergeCell ref="B18:C18"/>
    <mergeCell ref="B19:C19"/>
    <mergeCell ref="B20:C20"/>
  </mergeCells>
  <phoneticPr fontId="29" type="noConversion"/>
  <printOptions horizontalCentered="1" verticalCentered="1"/>
  <pageMargins left="0" right="0" top="0" bottom="0.74803149606299213" header="0.31496062992125984" footer="0.31496062992125984"/>
  <pageSetup scale="84" fitToHeight="0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2"/>
  <sheetViews>
    <sheetView view="pageBreakPreview" topLeftCell="A131" zoomScale="78" zoomScaleNormal="100" zoomScaleSheetLayoutView="78" workbookViewId="0">
      <selection activeCell="B351" sqref="B351"/>
    </sheetView>
  </sheetViews>
  <sheetFormatPr baseColWidth="10" defaultRowHeight="14.4" x14ac:dyDescent="0.3"/>
  <cols>
    <col min="2" max="2" width="53.88671875" customWidth="1"/>
    <col min="3" max="3" width="40.88671875" bestFit="1" customWidth="1"/>
    <col min="4" max="4" width="7.6640625" customWidth="1"/>
    <col min="5" max="5" width="8" customWidth="1"/>
    <col min="6" max="6" width="8.88671875" customWidth="1"/>
    <col min="7" max="8" width="6.6640625" customWidth="1"/>
    <col min="9" max="9" width="9.88671875" customWidth="1"/>
    <col min="10" max="10" width="15.44140625" bestFit="1" customWidth="1"/>
  </cols>
  <sheetData>
    <row r="1" spans="2:10" x14ac:dyDescent="0.3">
      <c r="B1" s="674"/>
      <c r="C1" s="638" t="s">
        <v>224</v>
      </c>
      <c r="D1" s="625" t="s">
        <v>225</v>
      </c>
      <c r="E1" s="676"/>
      <c r="F1" s="677">
        <v>103</v>
      </c>
      <c r="G1" s="678"/>
      <c r="H1" s="679"/>
      <c r="I1" s="680"/>
      <c r="J1" s="681"/>
    </row>
    <row r="2" spans="2:10" x14ac:dyDescent="0.3">
      <c r="B2" s="674"/>
      <c r="C2" s="639"/>
      <c r="D2" s="634" t="s">
        <v>195</v>
      </c>
      <c r="E2" s="686"/>
      <c r="F2" s="688">
        <v>51</v>
      </c>
      <c r="G2" s="689"/>
      <c r="H2" s="690"/>
      <c r="I2" s="682"/>
      <c r="J2" s="683"/>
    </row>
    <row r="3" spans="2:10" x14ac:dyDescent="0.3">
      <c r="B3" s="674"/>
      <c r="C3" s="307" t="s">
        <v>196</v>
      </c>
      <c r="D3" s="636"/>
      <c r="E3" s="687"/>
      <c r="F3" s="688"/>
      <c r="G3" s="689"/>
      <c r="H3" s="690"/>
      <c r="I3" s="682"/>
      <c r="J3" s="683"/>
    </row>
    <row r="4" spans="2:10" x14ac:dyDescent="0.3">
      <c r="B4" s="674"/>
      <c r="C4" s="308" t="s">
        <v>197</v>
      </c>
      <c r="D4" s="640" t="s">
        <v>198</v>
      </c>
      <c r="E4" s="691"/>
      <c r="F4" s="688">
        <v>1</v>
      </c>
      <c r="G4" s="689"/>
      <c r="H4" s="690"/>
      <c r="I4" s="682"/>
      <c r="J4" s="683"/>
    </row>
    <row r="5" spans="2:10" x14ac:dyDescent="0.3">
      <c r="B5" s="674"/>
      <c r="C5" s="642" t="s">
        <v>199</v>
      </c>
      <c r="D5" s="642" t="s">
        <v>200</v>
      </c>
      <c r="E5" s="640"/>
      <c r="F5" s="692" t="s">
        <v>201</v>
      </c>
      <c r="G5" s="693"/>
      <c r="H5" s="694"/>
      <c r="I5" s="682"/>
      <c r="J5" s="683"/>
    </row>
    <row r="6" spans="2:10" ht="15" thickBot="1" x14ac:dyDescent="0.35">
      <c r="B6" s="675"/>
      <c r="C6" s="642"/>
      <c r="D6" s="642"/>
      <c r="E6" s="640"/>
      <c r="F6" s="695">
        <v>44216</v>
      </c>
      <c r="G6" s="696"/>
      <c r="H6" s="697"/>
      <c r="I6" s="684"/>
      <c r="J6" s="685"/>
    </row>
    <row r="7" spans="2:10" ht="15" thickBot="1" x14ac:dyDescent="0.35">
      <c r="B7" s="276"/>
      <c r="C7" s="277"/>
      <c r="D7" s="277"/>
      <c r="E7" s="277"/>
      <c r="F7" s="313"/>
      <c r="G7" s="313"/>
      <c r="H7" s="313"/>
      <c r="I7" s="313"/>
      <c r="J7" s="314"/>
    </row>
    <row r="8" spans="2:10" ht="19.5" customHeight="1" x14ac:dyDescent="0.3">
      <c r="B8" s="698" t="str">
        <f>Presupuesto!A8</f>
        <v>ADECUACION Y MEJORAMIENTO DE AULAS ESCOLARES UBICADA EN LA INSTITUCION EDUCATIVA TECNICO COMERCIAL LA DORADA SEDE ESCUELA CENTRAL DEL MUNICIPIO DE SAN MIGUEL PUTUMAYO</v>
      </c>
      <c r="C8" s="699"/>
      <c r="D8" s="699"/>
      <c r="E8" s="699"/>
      <c r="F8" s="699"/>
      <c r="G8" s="699"/>
      <c r="H8" s="699"/>
      <c r="I8" s="699"/>
      <c r="J8" s="700"/>
    </row>
    <row r="9" spans="2:10" ht="24" customHeight="1" thickBot="1" x14ac:dyDescent="0.35">
      <c r="B9" s="701"/>
      <c r="C9" s="702"/>
      <c r="D9" s="702"/>
      <c r="E9" s="702"/>
      <c r="F9" s="702"/>
      <c r="G9" s="702"/>
      <c r="H9" s="702"/>
      <c r="I9" s="702"/>
      <c r="J9" s="703"/>
    </row>
    <row r="10" spans="2:10" ht="15" thickBot="1" x14ac:dyDescent="0.35">
      <c r="B10" s="276"/>
      <c r="C10" s="277"/>
      <c r="D10" s="277"/>
      <c r="E10" s="277"/>
      <c r="F10" s="313"/>
      <c r="G10" s="313"/>
      <c r="H10" s="313"/>
      <c r="I10" s="313"/>
      <c r="J10" s="314"/>
    </row>
    <row r="11" spans="2:10" ht="15" thickBot="1" x14ac:dyDescent="0.35">
      <c r="B11" s="671" t="s">
        <v>2</v>
      </c>
      <c r="C11" s="672"/>
      <c r="D11" s="672"/>
      <c r="E11" s="672"/>
      <c r="F11" s="672"/>
      <c r="G11" s="672"/>
      <c r="H11" s="672"/>
      <c r="I11" s="672"/>
      <c r="J11" s="673"/>
    </row>
    <row r="12" spans="2:10" ht="18" customHeight="1" thickBot="1" x14ac:dyDescent="0.35">
      <c r="B12" s="32"/>
      <c r="C12" s="252"/>
      <c r="D12" s="252"/>
      <c r="E12" s="252"/>
      <c r="F12" s="252"/>
      <c r="G12" s="252"/>
      <c r="H12" s="252"/>
      <c r="I12" s="252"/>
      <c r="J12" s="254"/>
    </row>
    <row r="13" spans="2:10" ht="15" thickBot="1" x14ac:dyDescent="0.35">
      <c r="B13" s="668" t="str">
        <f>Presupuesto!B14</f>
        <v>PRELIMINARES</v>
      </c>
      <c r="C13" s="669"/>
      <c r="D13" s="669"/>
      <c r="E13" s="669"/>
      <c r="F13" s="669"/>
      <c r="G13" s="669"/>
      <c r="H13" s="669"/>
      <c r="I13" s="669"/>
      <c r="J13" s="670"/>
    </row>
    <row r="14" spans="2:10" ht="18" customHeight="1" thickBot="1" x14ac:dyDescent="0.35">
      <c r="B14" s="32" t="s">
        <v>227</v>
      </c>
      <c r="C14" s="252"/>
      <c r="D14" s="252"/>
      <c r="E14" s="252"/>
      <c r="F14" s="252"/>
      <c r="G14" s="252"/>
      <c r="H14" s="252"/>
      <c r="I14" s="252"/>
      <c r="J14" s="254"/>
    </row>
    <row r="15" spans="2:10" x14ac:dyDescent="0.3">
      <c r="B15" s="255" t="str">
        <f>Presupuesto!B15</f>
        <v xml:space="preserve">REPLANTEO Y LOCALIZACIÓN </v>
      </c>
      <c r="C15" s="256"/>
      <c r="D15" s="256"/>
      <c r="E15" s="257"/>
      <c r="F15" s="257"/>
      <c r="G15" s="257"/>
      <c r="H15" s="257"/>
      <c r="I15" s="257"/>
      <c r="J15" s="258" t="s">
        <v>236</v>
      </c>
    </row>
    <row r="16" spans="2:10" x14ac:dyDescent="0.3">
      <c r="B16" s="546" t="s">
        <v>180</v>
      </c>
      <c r="C16" s="259" t="s">
        <v>181</v>
      </c>
      <c r="D16" s="259" t="s">
        <v>182</v>
      </c>
      <c r="E16" s="259" t="s">
        <v>183</v>
      </c>
      <c r="F16" s="259" t="s">
        <v>184</v>
      </c>
      <c r="G16" s="259" t="s">
        <v>185</v>
      </c>
      <c r="H16" s="259" t="s">
        <v>186</v>
      </c>
      <c r="I16" s="259" t="s">
        <v>187</v>
      </c>
      <c r="J16" s="353" t="s">
        <v>188</v>
      </c>
    </row>
    <row r="17" spans="2:10" x14ac:dyDescent="0.3">
      <c r="B17" s="559"/>
      <c r="C17" s="355" t="s">
        <v>361</v>
      </c>
      <c r="D17" s="261">
        <v>1</v>
      </c>
      <c r="E17" s="261">
        <v>8.8000000000000007</v>
      </c>
      <c r="F17" s="262">
        <v>4</v>
      </c>
      <c r="G17" s="262"/>
      <c r="H17" s="263">
        <f>D17*E17*F17</f>
        <v>35.200000000000003</v>
      </c>
      <c r="I17" s="263"/>
      <c r="J17" s="526">
        <f>H17</f>
        <v>35.200000000000003</v>
      </c>
    </row>
    <row r="18" spans="2:10" x14ac:dyDescent="0.3">
      <c r="B18" s="558"/>
      <c r="C18" s="355" t="s">
        <v>362</v>
      </c>
      <c r="D18" s="261">
        <v>1</v>
      </c>
      <c r="E18" s="261">
        <v>7.7</v>
      </c>
      <c r="F18" s="262">
        <v>4.2</v>
      </c>
      <c r="G18" s="262"/>
      <c r="H18" s="263">
        <f>D18*E18*F18</f>
        <v>32.340000000000003</v>
      </c>
      <c r="I18" s="263"/>
      <c r="J18" s="526">
        <f>H18</f>
        <v>32.340000000000003</v>
      </c>
    </row>
    <row r="19" spans="2:10" x14ac:dyDescent="0.3">
      <c r="B19" s="558"/>
      <c r="C19" s="355"/>
      <c r="D19" s="261"/>
      <c r="E19" s="261"/>
      <c r="F19" s="262"/>
      <c r="G19" s="262"/>
      <c r="H19" s="263"/>
      <c r="I19" s="263"/>
      <c r="J19" s="526"/>
    </row>
    <row r="20" spans="2:10" x14ac:dyDescent="0.3">
      <c r="B20" s="558"/>
      <c r="C20" s="355"/>
      <c r="D20" s="261"/>
      <c r="E20" s="261"/>
      <c r="F20" s="262"/>
      <c r="G20" s="262"/>
      <c r="H20" s="263"/>
      <c r="I20" s="263"/>
      <c r="J20" s="526"/>
    </row>
    <row r="21" spans="2:10" ht="13.5" customHeight="1" x14ac:dyDescent="0.3">
      <c r="B21" s="558"/>
      <c r="C21" s="261"/>
      <c r="D21" s="261"/>
      <c r="E21" s="261"/>
      <c r="F21" s="262"/>
      <c r="G21" s="262"/>
      <c r="H21" s="263"/>
      <c r="I21" s="263"/>
      <c r="J21" s="354"/>
    </row>
    <row r="22" spans="2:10" x14ac:dyDescent="0.3">
      <c r="B22" s="272"/>
      <c r="C22" s="261"/>
      <c r="D22" s="261"/>
      <c r="E22" s="261"/>
      <c r="F22" s="262"/>
      <c r="G22" s="262"/>
      <c r="H22" s="263"/>
      <c r="I22" s="263"/>
      <c r="J22" s="354">
        <f>+E22</f>
        <v>0</v>
      </c>
    </row>
    <row r="23" spans="2:10" ht="15" thickBot="1" x14ac:dyDescent="0.35">
      <c r="B23" s="266" t="s">
        <v>246</v>
      </c>
      <c r="C23" s="267"/>
      <c r="D23" s="267"/>
      <c r="E23" s="267"/>
      <c r="F23" s="267"/>
      <c r="G23" s="267"/>
      <c r="H23" s="267"/>
      <c r="I23" s="267"/>
      <c r="J23" s="268">
        <f>ROUND((SUM(J17:J22)),2)</f>
        <v>67.540000000000006</v>
      </c>
    </row>
    <row r="24" spans="2:10" x14ac:dyDescent="0.3">
      <c r="B24" s="32"/>
      <c r="C24" s="32"/>
      <c r="D24" s="32"/>
      <c r="E24" s="32"/>
      <c r="F24" s="32"/>
      <c r="G24" s="32"/>
      <c r="H24" s="32"/>
      <c r="I24" s="32"/>
      <c r="J24" s="323"/>
    </row>
    <row r="25" spans="2:10" ht="15" thickBot="1" x14ac:dyDescent="0.35">
      <c r="B25" s="32" t="s">
        <v>288</v>
      </c>
      <c r="C25" s="252"/>
      <c r="D25" s="252"/>
      <c r="E25" s="252"/>
      <c r="F25" s="252"/>
      <c r="G25" s="252"/>
      <c r="H25" s="252"/>
      <c r="I25" s="252"/>
      <c r="J25" s="254"/>
    </row>
    <row r="26" spans="2:10" x14ac:dyDescent="0.3">
      <c r="B26" s="255" t="str">
        <f>+Presupuesto!B16</f>
        <v>CERRAMIENTO PERIMETRAL CON LONA VERDE</v>
      </c>
      <c r="C26" s="256"/>
      <c r="D26" s="256"/>
      <c r="E26" s="257"/>
      <c r="F26" s="257"/>
      <c r="G26" s="257"/>
      <c r="H26" s="257"/>
      <c r="I26" s="257"/>
      <c r="J26" s="258" t="str">
        <f>+Presupuesto!D16</f>
        <v>ML</v>
      </c>
    </row>
    <row r="27" spans="2:10" x14ac:dyDescent="0.3">
      <c r="B27" s="546" t="s">
        <v>180</v>
      </c>
      <c r="C27" s="259" t="s">
        <v>181</v>
      </c>
      <c r="D27" s="259" t="s">
        <v>182</v>
      </c>
      <c r="E27" s="259" t="s">
        <v>183</v>
      </c>
      <c r="F27" s="259" t="s">
        <v>184</v>
      </c>
      <c r="G27" s="259" t="s">
        <v>185</v>
      </c>
      <c r="H27" s="259" t="s">
        <v>186</v>
      </c>
      <c r="I27" s="259" t="s">
        <v>187</v>
      </c>
      <c r="J27" s="353" t="s">
        <v>188</v>
      </c>
    </row>
    <row r="28" spans="2:10" x14ac:dyDescent="0.3">
      <c r="B28" s="558"/>
      <c r="C28" s="355" t="s">
        <v>440</v>
      </c>
      <c r="D28" s="261">
        <v>1</v>
      </c>
      <c r="E28" s="261">
        <v>12</v>
      </c>
      <c r="F28" s="262"/>
      <c r="G28" s="262"/>
      <c r="H28" s="263"/>
      <c r="I28" s="263"/>
      <c r="J28" s="526">
        <f>+E28</f>
        <v>12</v>
      </c>
    </row>
    <row r="29" spans="2:10" x14ac:dyDescent="0.3">
      <c r="B29" s="558"/>
      <c r="C29" s="261"/>
      <c r="D29" s="261"/>
      <c r="E29" s="261"/>
      <c r="F29" s="262"/>
      <c r="G29" s="262"/>
      <c r="H29" s="263"/>
      <c r="I29" s="263"/>
      <c r="J29" s="526"/>
    </row>
    <row r="30" spans="2:10" x14ac:dyDescent="0.3">
      <c r="B30" s="558"/>
      <c r="C30" s="261"/>
      <c r="D30" s="261"/>
      <c r="E30" s="261"/>
      <c r="F30" s="262"/>
      <c r="G30" s="262"/>
      <c r="H30" s="263"/>
      <c r="I30" s="263"/>
      <c r="J30" s="354"/>
    </row>
    <row r="31" spans="2:10" x14ac:dyDescent="0.3">
      <c r="B31" s="272"/>
      <c r="C31" s="261"/>
      <c r="D31" s="261"/>
      <c r="E31" s="261"/>
      <c r="F31" s="262"/>
      <c r="G31" s="262"/>
      <c r="H31" s="263"/>
      <c r="I31" s="263"/>
      <c r="J31" s="354">
        <f>+E31</f>
        <v>0</v>
      </c>
    </row>
    <row r="32" spans="2:10" ht="15" thickBot="1" x14ac:dyDescent="0.35">
      <c r="B32" s="266" t="s">
        <v>246</v>
      </c>
      <c r="C32" s="267"/>
      <c r="D32" s="267"/>
      <c r="E32" s="267"/>
      <c r="F32" s="267"/>
      <c r="G32" s="267"/>
      <c r="H32" s="267"/>
      <c r="I32" s="267"/>
      <c r="J32" s="268">
        <f>ROUND((SUM(J28:J31)),2)</f>
        <v>12</v>
      </c>
    </row>
    <row r="33" spans="2:13" x14ac:dyDescent="0.3">
      <c r="B33" s="32"/>
      <c r="C33" s="32"/>
      <c r="D33" s="32"/>
      <c r="E33" s="32"/>
      <c r="F33" s="32"/>
      <c r="G33" s="32"/>
      <c r="H33" s="32"/>
      <c r="I33" s="32"/>
      <c r="J33" s="323"/>
    </row>
    <row r="34" spans="2:13" ht="18" customHeight="1" thickBot="1" x14ac:dyDescent="0.35">
      <c r="B34" s="32" t="s">
        <v>441</v>
      </c>
      <c r="C34" s="252"/>
      <c r="D34" s="252"/>
      <c r="E34" s="252"/>
      <c r="F34" s="252"/>
      <c r="G34" s="252"/>
      <c r="H34" s="252"/>
      <c r="I34" s="252"/>
      <c r="J34" s="254"/>
    </row>
    <row r="35" spans="2:13" x14ac:dyDescent="0.3">
      <c r="B35" s="255" t="str">
        <f>Presupuesto!B17</f>
        <v>DEMOLICION DE PLACA EN CONCRETO REFORZADO ENTREPISO AULA 2</v>
      </c>
      <c r="C35" s="256"/>
      <c r="D35" s="256"/>
      <c r="E35" s="257"/>
      <c r="F35" s="257"/>
      <c r="G35" s="257"/>
      <c r="H35" s="257"/>
      <c r="I35" s="257"/>
      <c r="J35" s="258" t="str">
        <f>Presupuesto!D17</f>
        <v>M2</v>
      </c>
    </row>
    <row r="36" spans="2:13" x14ac:dyDescent="0.3">
      <c r="B36" s="546" t="s">
        <v>180</v>
      </c>
      <c r="C36" s="259" t="s">
        <v>181</v>
      </c>
      <c r="D36" s="259" t="s">
        <v>182</v>
      </c>
      <c r="E36" s="259" t="s">
        <v>183</v>
      </c>
      <c r="F36" s="259" t="s">
        <v>184</v>
      </c>
      <c r="G36" s="259" t="s">
        <v>185</v>
      </c>
      <c r="H36" s="259" t="s">
        <v>186</v>
      </c>
      <c r="I36" s="259" t="s">
        <v>187</v>
      </c>
      <c r="J36" s="353" t="s">
        <v>188</v>
      </c>
    </row>
    <row r="37" spans="2:13" x14ac:dyDescent="0.3">
      <c r="B37" s="558"/>
      <c r="C37" s="355" t="s">
        <v>373</v>
      </c>
      <c r="D37" s="261">
        <v>1</v>
      </c>
      <c r="E37" s="261">
        <v>6.3</v>
      </c>
      <c r="F37" s="262">
        <v>4.2</v>
      </c>
      <c r="G37" s="262"/>
      <c r="H37" s="263"/>
      <c r="I37" s="263">
        <f>D37*E37*F37</f>
        <v>26.46</v>
      </c>
      <c r="J37" s="526">
        <f>I37</f>
        <v>26.46</v>
      </c>
    </row>
    <row r="38" spans="2:13" ht="13.5" customHeight="1" x14ac:dyDescent="0.3">
      <c r="B38" s="558"/>
      <c r="C38" s="261"/>
      <c r="D38" s="261"/>
      <c r="E38" s="261"/>
      <c r="F38" s="262"/>
      <c r="G38" s="262"/>
      <c r="H38" s="263"/>
      <c r="I38" s="263"/>
      <c r="J38" s="526"/>
    </row>
    <row r="39" spans="2:13" ht="13.5" customHeight="1" x14ac:dyDescent="0.3">
      <c r="B39" s="558"/>
      <c r="C39" s="261"/>
      <c r="D39" s="261"/>
      <c r="E39" s="261"/>
      <c r="F39" s="262"/>
      <c r="G39" s="262"/>
      <c r="H39" s="263"/>
      <c r="I39" s="263"/>
      <c r="J39" s="354"/>
    </row>
    <row r="40" spans="2:13" x14ac:dyDescent="0.3">
      <c r="B40" s="272"/>
      <c r="C40" s="261"/>
      <c r="D40" s="261"/>
      <c r="E40" s="261"/>
      <c r="F40" s="262"/>
      <c r="G40" s="262"/>
      <c r="H40" s="263"/>
      <c r="I40" s="263"/>
      <c r="J40" s="354">
        <f>+E40</f>
        <v>0</v>
      </c>
    </row>
    <row r="41" spans="2:13" ht="15" thickBot="1" x14ac:dyDescent="0.35">
      <c r="B41" s="266" t="s">
        <v>246</v>
      </c>
      <c r="C41" s="267"/>
      <c r="D41" s="267"/>
      <c r="E41" s="267"/>
      <c r="F41" s="267"/>
      <c r="G41" s="267"/>
      <c r="H41" s="267"/>
      <c r="I41" s="267"/>
      <c r="J41" s="268">
        <f>ROUND((SUM(J37:J40)),2)</f>
        <v>26.46</v>
      </c>
    </row>
    <row r="42" spans="2:13" x14ac:dyDescent="0.3">
      <c r="B42" s="32"/>
      <c r="C42" s="32"/>
      <c r="D42" s="32"/>
      <c r="E42" s="32"/>
      <c r="F42" s="32"/>
      <c r="G42" s="32"/>
      <c r="H42" s="32"/>
      <c r="I42" s="32"/>
      <c r="J42" s="323"/>
    </row>
    <row r="43" spans="2:13" ht="15" thickBot="1" x14ac:dyDescent="0.35">
      <c r="B43" s="32" t="s">
        <v>298</v>
      </c>
      <c r="C43" s="252"/>
      <c r="D43" s="252"/>
      <c r="E43" s="252"/>
      <c r="F43" s="252"/>
      <c r="G43" s="252"/>
      <c r="H43" s="252"/>
      <c r="I43" s="252"/>
      <c r="J43" s="252"/>
    </row>
    <row r="44" spans="2:13" ht="15" thickBot="1" x14ac:dyDescent="0.35">
      <c r="B44" s="269" t="str">
        <f>Presupuesto!B18</f>
        <v>DESMONTE DE CUBIERTA EXISTENTE</v>
      </c>
      <c r="C44" s="256"/>
      <c r="D44" s="256"/>
      <c r="E44" s="257"/>
      <c r="F44" s="257"/>
      <c r="G44" s="257"/>
      <c r="H44" s="257"/>
      <c r="I44" s="257"/>
      <c r="J44" s="258" t="str">
        <f>Presupuesto!D18</f>
        <v>M2</v>
      </c>
    </row>
    <row r="45" spans="2:13" x14ac:dyDescent="0.3">
      <c r="B45" s="270" t="s">
        <v>180</v>
      </c>
      <c r="C45" s="259" t="s">
        <v>181</v>
      </c>
      <c r="D45" s="259" t="s">
        <v>182</v>
      </c>
      <c r="E45" s="259" t="s">
        <v>183</v>
      </c>
      <c r="F45" s="259" t="s">
        <v>184</v>
      </c>
      <c r="G45" s="259" t="s">
        <v>185</v>
      </c>
      <c r="H45" s="259" t="s">
        <v>186</v>
      </c>
      <c r="I45" s="259" t="s">
        <v>187</v>
      </c>
      <c r="J45" s="260" t="s">
        <v>188</v>
      </c>
    </row>
    <row r="46" spans="2:13" x14ac:dyDescent="0.3">
      <c r="B46" s="271"/>
      <c r="C46" s="261" t="s">
        <v>364</v>
      </c>
      <c r="D46" s="261">
        <v>1</v>
      </c>
      <c r="E46" s="261">
        <v>11.6</v>
      </c>
      <c r="F46" s="262">
        <v>5</v>
      </c>
      <c r="G46" s="262"/>
      <c r="H46" s="263">
        <f>D46*E46*F46</f>
        <v>58</v>
      </c>
      <c r="I46" s="263">
        <f>H46</f>
        <v>58</v>
      </c>
      <c r="J46" s="264">
        <f>I46</f>
        <v>58</v>
      </c>
      <c r="L46" s="253"/>
    </row>
    <row r="47" spans="2:13" x14ac:dyDescent="0.3">
      <c r="B47" s="272"/>
      <c r="C47" s="261" t="s">
        <v>365</v>
      </c>
      <c r="D47" s="261">
        <v>1</v>
      </c>
      <c r="E47" s="261">
        <v>6.3</v>
      </c>
      <c r="F47" s="262">
        <v>4.8</v>
      </c>
      <c r="G47" s="262"/>
      <c r="H47" s="263">
        <f>D47*E47*F47</f>
        <v>30.24</v>
      </c>
      <c r="I47" s="263">
        <f>H47</f>
        <v>30.24</v>
      </c>
      <c r="J47" s="264">
        <f>I47</f>
        <v>30.24</v>
      </c>
      <c r="L47" s="253"/>
      <c r="M47">
        <f>8.8+0.15+1.8+0.15+0.7</f>
        <v>11.600000000000001</v>
      </c>
    </row>
    <row r="48" spans="2:13" x14ac:dyDescent="0.3">
      <c r="B48" s="272"/>
      <c r="C48" s="355"/>
      <c r="D48" s="261"/>
      <c r="E48" s="261"/>
      <c r="F48" s="262"/>
      <c r="G48" s="262"/>
      <c r="H48" s="263"/>
      <c r="I48" s="263"/>
      <c r="J48" s="264">
        <f>H48</f>
        <v>0</v>
      </c>
    </row>
    <row r="49" spans="2:13" x14ac:dyDescent="0.3">
      <c r="B49" s="272"/>
      <c r="C49" s="355"/>
      <c r="D49" s="261"/>
      <c r="E49" s="261"/>
      <c r="F49" s="262"/>
      <c r="G49" s="262"/>
      <c r="H49" s="263"/>
      <c r="I49" s="263"/>
      <c r="J49" s="264">
        <f>H49</f>
        <v>0</v>
      </c>
    </row>
    <row r="50" spans="2:13" x14ac:dyDescent="0.3">
      <c r="B50" s="272"/>
      <c r="C50" s="355"/>
      <c r="D50" s="261"/>
      <c r="E50" s="261"/>
      <c r="F50" s="262"/>
      <c r="G50" s="262"/>
      <c r="H50" s="263"/>
      <c r="I50" s="263"/>
      <c r="J50" s="264">
        <f>H50</f>
        <v>0</v>
      </c>
    </row>
    <row r="51" spans="2:13" ht="15" thickBot="1" x14ac:dyDescent="0.35">
      <c r="B51" s="266" t="s">
        <v>246</v>
      </c>
      <c r="C51" s="267"/>
      <c r="D51" s="267"/>
      <c r="E51" s="267"/>
      <c r="F51" s="267"/>
      <c r="G51" s="267"/>
      <c r="H51" s="267"/>
      <c r="I51" s="267"/>
      <c r="J51" s="268">
        <f>ROUND((SUM(J46:J50)),2)</f>
        <v>88.24</v>
      </c>
      <c r="M51">
        <f>0.15+1.8</f>
        <v>1.95</v>
      </c>
    </row>
    <row r="52" spans="2:13" x14ac:dyDescent="0.3">
      <c r="B52" s="252"/>
      <c r="C52" s="252"/>
      <c r="D52" s="252"/>
      <c r="E52" s="252"/>
      <c r="F52" s="252"/>
      <c r="G52" s="252"/>
      <c r="H52" s="252"/>
      <c r="I52" s="252"/>
      <c r="J52" s="252"/>
    </row>
    <row r="53" spans="2:13" ht="15" thickBot="1" x14ac:dyDescent="0.35">
      <c r="B53" s="32" t="s">
        <v>299</v>
      </c>
      <c r="C53" s="252"/>
      <c r="D53" s="252"/>
      <c r="E53" s="252"/>
      <c r="F53" s="252"/>
      <c r="G53" s="252"/>
      <c r="H53" s="252"/>
      <c r="I53" s="252"/>
      <c r="J53" s="252"/>
    </row>
    <row r="54" spans="2:13" ht="15" thickBot="1" x14ac:dyDescent="0.35">
      <c r="B54" s="269" t="str">
        <f>Presupuesto!B19</f>
        <v>DEMOLICION MANUAL LOSA EN CONCRETO DE AULA 1</v>
      </c>
      <c r="C54" s="256"/>
      <c r="D54" s="256"/>
      <c r="E54" s="257"/>
      <c r="F54" s="257"/>
      <c r="G54" s="257"/>
      <c r="H54" s="257"/>
      <c r="I54" s="257"/>
      <c r="J54" s="258" t="str">
        <f>Presupuesto!D19</f>
        <v>M2</v>
      </c>
    </row>
    <row r="55" spans="2:13" x14ac:dyDescent="0.3">
      <c r="B55" s="270" t="s">
        <v>180</v>
      </c>
      <c r="C55" s="259" t="s">
        <v>181</v>
      </c>
      <c r="D55" s="259" t="s">
        <v>182</v>
      </c>
      <c r="E55" s="259" t="s">
        <v>183</v>
      </c>
      <c r="F55" s="259" t="s">
        <v>184</v>
      </c>
      <c r="G55" s="259" t="s">
        <v>185</v>
      </c>
      <c r="H55" s="259" t="s">
        <v>186</v>
      </c>
      <c r="I55" s="259" t="s">
        <v>187</v>
      </c>
      <c r="J55" s="260" t="s">
        <v>188</v>
      </c>
    </row>
    <row r="56" spans="2:13" x14ac:dyDescent="0.3">
      <c r="B56" s="272"/>
      <c r="C56" s="261"/>
      <c r="D56" s="261"/>
      <c r="E56" s="261"/>
      <c r="F56" s="262"/>
      <c r="G56" s="262"/>
      <c r="H56" s="263"/>
      <c r="I56" s="263"/>
      <c r="J56" s="264">
        <f>H56</f>
        <v>0</v>
      </c>
    </row>
    <row r="57" spans="2:13" x14ac:dyDescent="0.3">
      <c r="B57" s="272"/>
      <c r="C57" s="261" t="s">
        <v>367</v>
      </c>
      <c r="D57" s="261">
        <v>1</v>
      </c>
      <c r="E57" s="261">
        <v>4.2</v>
      </c>
      <c r="F57" s="262">
        <v>1.4</v>
      </c>
      <c r="G57" s="262"/>
      <c r="H57" s="263">
        <f>D57*E57*F57</f>
        <v>5.88</v>
      </c>
      <c r="I57" s="263"/>
      <c r="J57" s="264">
        <f>H57</f>
        <v>5.88</v>
      </c>
    </row>
    <row r="58" spans="2:13" x14ac:dyDescent="0.3">
      <c r="B58" s="272"/>
      <c r="C58" s="261" t="s">
        <v>374</v>
      </c>
      <c r="D58" s="261">
        <v>2</v>
      </c>
      <c r="E58" s="261">
        <v>0.6</v>
      </c>
      <c r="F58" s="262">
        <v>0.6</v>
      </c>
      <c r="G58" s="262"/>
      <c r="H58" s="263">
        <f>D58*E58*F58</f>
        <v>0.72</v>
      </c>
      <c r="I58" s="263"/>
      <c r="J58" s="264">
        <f>H58</f>
        <v>0.72</v>
      </c>
    </row>
    <row r="59" spans="2:13" x14ac:dyDescent="0.3">
      <c r="B59" s="272"/>
      <c r="C59" s="355"/>
      <c r="D59" s="261"/>
      <c r="E59" s="261"/>
      <c r="F59" s="262"/>
      <c r="G59" s="262"/>
      <c r="H59" s="263"/>
      <c r="I59" s="263"/>
      <c r="J59" s="265"/>
    </row>
    <row r="60" spans="2:13" x14ac:dyDescent="0.3">
      <c r="B60" s="272"/>
      <c r="C60" s="261"/>
      <c r="D60" s="261"/>
      <c r="E60" s="261"/>
      <c r="F60" s="262"/>
      <c r="G60" s="262"/>
      <c r="H60" s="263"/>
      <c r="I60" s="262"/>
      <c r="J60" s="265">
        <f>+D60</f>
        <v>0</v>
      </c>
    </row>
    <row r="61" spans="2:13" x14ac:dyDescent="0.3">
      <c r="B61" s="272"/>
      <c r="C61" s="375"/>
      <c r="D61" s="375"/>
      <c r="E61" s="375"/>
      <c r="F61" s="375"/>
      <c r="G61" s="375"/>
      <c r="H61" s="375"/>
      <c r="I61" s="375"/>
    </row>
    <row r="62" spans="2:13" ht="15" thickBot="1" x14ac:dyDescent="0.35">
      <c r="B62" s="266" t="s">
        <v>246</v>
      </c>
      <c r="C62" s="252"/>
      <c r="D62" s="252"/>
      <c r="E62" s="252"/>
      <c r="F62" s="252"/>
      <c r="G62" s="252"/>
      <c r="H62" s="252"/>
      <c r="I62" s="252"/>
      <c r="J62" s="268">
        <f>ROUND((SUM(J56:J61)),2)</f>
        <v>6.6</v>
      </c>
    </row>
    <row r="63" spans="2:13" x14ac:dyDescent="0.3">
      <c r="B63" s="252"/>
      <c r="C63" s="256"/>
      <c r="D63" s="256"/>
      <c r="E63" s="257"/>
      <c r="F63" s="257"/>
      <c r="G63" s="257"/>
      <c r="H63" s="257"/>
      <c r="I63" s="257"/>
    </row>
    <row r="64" spans="2:13" ht="15" thickBot="1" x14ac:dyDescent="0.35">
      <c r="B64" s="32" t="s">
        <v>436</v>
      </c>
      <c r="C64" s="32"/>
      <c r="D64" s="32"/>
      <c r="E64" s="252"/>
      <c r="F64" s="252"/>
      <c r="G64" s="252"/>
      <c r="H64" s="252"/>
      <c r="I64" s="252"/>
      <c r="J64" s="498" t="str">
        <f>+Presupuesto!D20</f>
        <v>M2</v>
      </c>
    </row>
    <row r="65" spans="2:10" ht="15" thickBot="1" x14ac:dyDescent="0.35">
      <c r="B65" s="269" t="str">
        <f>+Presupuesto!B20</f>
        <v>DEMOLICION MANUAL MURO AULA 2 (EJE B)</v>
      </c>
      <c r="C65" s="523" t="s">
        <v>181</v>
      </c>
      <c r="D65" s="523" t="s">
        <v>182</v>
      </c>
      <c r="E65" s="523" t="s">
        <v>183</v>
      </c>
      <c r="F65" s="523" t="s">
        <v>184</v>
      </c>
      <c r="G65" s="523" t="s">
        <v>185</v>
      </c>
      <c r="H65" s="523" t="s">
        <v>186</v>
      </c>
      <c r="I65" s="523" t="s">
        <v>187</v>
      </c>
      <c r="J65" s="524" t="s">
        <v>188</v>
      </c>
    </row>
    <row r="66" spans="2:10" x14ac:dyDescent="0.3">
      <c r="B66" s="270" t="s">
        <v>180</v>
      </c>
      <c r="C66" s="355"/>
      <c r="D66" s="261"/>
      <c r="E66" s="261"/>
      <c r="F66" s="262"/>
      <c r="G66" s="262"/>
      <c r="H66" s="263"/>
      <c r="I66" s="262"/>
      <c r="J66" s="354">
        <f>E66</f>
        <v>0</v>
      </c>
    </row>
    <row r="67" spans="2:10" x14ac:dyDescent="0.3">
      <c r="B67" s="525"/>
      <c r="C67" s="355" t="s">
        <v>438</v>
      </c>
      <c r="D67" s="261"/>
      <c r="E67" s="261">
        <v>4</v>
      </c>
      <c r="F67" s="262"/>
      <c r="G67" s="262">
        <v>2.6</v>
      </c>
      <c r="H67" s="263"/>
      <c r="I67" s="493">
        <f>+E67*G67</f>
        <v>10.4</v>
      </c>
      <c r="J67" s="354">
        <f>I67</f>
        <v>10.4</v>
      </c>
    </row>
    <row r="68" spans="2:10" x14ac:dyDescent="0.3">
      <c r="B68" s="271"/>
      <c r="C68" s="355"/>
      <c r="D68" s="261"/>
      <c r="E68" s="261"/>
      <c r="F68" s="261"/>
      <c r="G68" s="262"/>
      <c r="H68" s="263"/>
      <c r="I68" s="263"/>
      <c r="J68" s="526">
        <f>I68</f>
        <v>0</v>
      </c>
    </row>
    <row r="69" spans="2:10" x14ac:dyDescent="0.3">
      <c r="B69" s="272"/>
      <c r="C69" s="261"/>
      <c r="D69" s="261"/>
      <c r="E69" s="261"/>
      <c r="F69" s="262"/>
      <c r="G69" s="262"/>
      <c r="H69" s="263"/>
      <c r="I69" s="263"/>
      <c r="J69" s="354"/>
    </row>
    <row r="70" spans="2:10" x14ac:dyDescent="0.3">
      <c r="B70" s="272"/>
      <c r="C70" s="261"/>
      <c r="D70" s="261"/>
      <c r="E70" s="261"/>
      <c r="F70" s="262"/>
      <c r="G70" s="262"/>
      <c r="H70" s="263"/>
      <c r="I70" s="262"/>
      <c r="J70" s="354"/>
    </row>
    <row r="71" spans="2:10" ht="15" thickBot="1" x14ac:dyDescent="0.35">
      <c r="B71" s="266" t="s">
        <v>246</v>
      </c>
      <c r="C71" s="267"/>
      <c r="D71" s="267"/>
      <c r="E71" s="267"/>
      <c r="F71" s="267"/>
      <c r="G71" s="267"/>
      <c r="H71" s="267"/>
      <c r="I71" s="267"/>
      <c r="J71" s="268">
        <f>ROUND((SUM(J66:J70)),2)</f>
        <v>10.4</v>
      </c>
    </row>
    <row r="72" spans="2:10" x14ac:dyDescent="0.3">
      <c r="B72" s="252"/>
      <c r="C72" s="32"/>
      <c r="D72" s="32"/>
      <c r="E72" s="252"/>
      <c r="F72" s="252"/>
      <c r="G72" s="252"/>
      <c r="H72" s="252"/>
      <c r="I72" s="252"/>
    </row>
    <row r="73" spans="2:10" x14ac:dyDescent="0.3">
      <c r="B73" s="252"/>
      <c r="C73" s="32"/>
      <c r="D73" s="32"/>
      <c r="E73" s="252"/>
      <c r="F73" s="252"/>
      <c r="G73" s="252"/>
      <c r="H73" s="252"/>
      <c r="I73" s="252"/>
    </row>
    <row r="74" spans="2:10" ht="15" thickBot="1" x14ac:dyDescent="0.35">
      <c r="B74" s="32" t="s">
        <v>442</v>
      </c>
      <c r="C74" s="32"/>
      <c r="D74" s="32"/>
      <c r="E74" s="252"/>
      <c r="F74" s="252"/>
      <c r="G74" s="252"/>
      <c r="H74" s="252"/>
      <c r="I74" s="252"/>
      <c r="J74" s="498" t="str">
        <f>Presupuesto!D21</f>
        <v>M3</v>
      </c>
    </row>
    <row r="75" spans="2:10" ht="15" thickBot="1" x14ac:dyDescent="0.35">
      <c r="B75" s="269" t="str">
        <f>Presupuesto!B21</f>
        <v>RETIRO Y DISPOSICION DE MATERIAL SOBRANTE</v>
      </c>
      <c r="C75" s="523" t="s">
        <v>181</v>
      </c>
      <c r="D75" s="523" t="s">
        <v>182</v>
      </c>
      <c r="E75" s="523" t="s">
        <v>183</v>
      </c>
      <c r="F75" s="523" t="s">
        <v>184</v>
      </c>
      <c r="G75" s="523" t="s">
        <v>185</v>
      </c>
      <c r="H75" s="523" t="s">
        <v>186</v>
      </c>
      <c r="I75" s="523" t="s">
        <v>187</v>
      </c>
      <c r="J75" s="524" t="s">
        <v>188</v>
      </c>
    </row>
    <row r="76" spans="2:10" x14ac:dyDescent="0.3">
      <c r="B76" s="270" t="s">
        <v>180</v>
      </c>
      <c r="C76" s="355"/>
      <c r="D76" s="261"/>
      <c r="E76" s="261"/>
      <c r="F76" s="262"/>
      <c r="G76" s="262"/>
      <c r="H76" s="263"/>
      <c r="I76" s="262"/>
      <c r="J76" s="354">
        <f>E76</f>
        <v>0</v>
      </c>
    </row>
    <row r="77" spans="2:10" x14ac:dyDescent="0.3">
      <c r="B77" s="525"/>
      <c r="C77" s="355" t="s">
        <v>368</v>
      </c>
      <c r="D77" s="261"/>
      <c r="E77" s="261"/>
      <c r="F77" s="262"/>
      <c r="G77" s="262"/>
      <c r="H77" s="263"/>
      <c r="I77" s="493">
        <f>I37+(J62*0.7)</f>
        <v>31.08</v>
      </c>
      <c r="J77" s="354">
        <f>I77</f>
        <v>31.08</v>
      </c>
    </row>
    <row r="78" spans="2:10" x14ac:dyDescent="0.3">
      <c r="B78" s="271"/>
      <c r="C78" s="355"/>
      <c r="D78" s="261"/>
      <c r="E78" s="261"/>
      <c r="F78" s="261"/>
      <c r="G78" s="262"/>
      <c r="H78" s="263"/>
      <c r="I78" s="263"/>
      <c r="J78" s="526">
        <f>I78</f>
        <v>0</v>
      </c>
    </row>
    <row r="79" spans="2:10" x14ac:dyDescent="0.3">
      <c r="B79" s="272"/>
      <c r="C79" s="261"/>
      <c r="D79" s="261"/>
      <c r="E79" s="261"/>
      <c r="F79" s="262"/>
      <c r="G79" s="262"/>
      <c r="H79" s="263"/>
      <c r="I79" s="263"/>
      <c r="J79" s="354"/>
    </row>
    <row r="80" spans="2:10" x14ac:dyDescent="0.3">
      <c r="B80" s="272"/>
      <c r="C80" s="261"/>
      <c r="D80" s="261"/>
      <c r="E80" s="261"/>
      <c r="F80" s="262"/>
      <c r="G80" s="262"/>
      <c r="H80" s="263"/>
      <c r="I80" s="262"/>
      <c r="J80" s="354"/>
    </row>
    <row r="81" spans="2:12" ht="15" thickBot="1" x14ac:dyDescent="0.35">
      <c r="B81" s="266" t="s">
        <v>246</v>
      </c>
      <c r="C81" s="267"/>
      <c r="D81" s="267"/>
      <c r="E81" s="267"/>
      <c r="F81" s="267"/>
      <c r="G81" s="267"/>
      <c r="H81" s="267"/>
      <c r="I81" s="267"/>
      <c r="J81" s="268">
        <f>ROUND((SUM(J76:J80)),2)</f>
        <v>31.08</v>
      </c>
    </row>
    <row r="82" spans="2:12" x14ac:dyDescent="0.3">
      <c r="B82" s="32"/>
      <c r="C82" s="32"/>
      <c r="D82" s="32"/>
      <c r="E82" s="32"/>
      <c r="F82" s="32"/>
      <c r="G82" s="32"/>
      <c r="H82" s="32"/>
      <c r="I82" s="32"/>
      <c r="J82" s="323"/>
    </row>
    <row r="83" spans="2:12" ht="15" thickBot="1" x14ac:dyDescent="0.35">
      <c r="B83" s="272"/>
      <c r="L83" s="253"/>
    </row>
    <row r="84" spans="2:12" ht="15" thickBot="1" x14ac:dyDescent="0.35">
      <c r="B84" s="668" t="str">
        <f>Presupuesto!B23</f>
        <v>CIMENTACION, CONCRETOS Y MAMPOSTERIA</v>
      </c>
      <c r="C84" s="669"/>
      <c r="D84" s="669"/>
      <c r="E84" s="669"/>
      <c r="F84" s="669"/>
      <c r="G84" s="669"/>
      <c r="H84" s="669"/>
      <c r="I84" s="669"/>
      <c r="J84" s="670"/>
    </row>
    <row r="85" spans="2:12" x14ac:dyDescent="0.3">
      <c r="B85" s="252"/>
    </row>
    <row r="86" spans="2:12" ht="15" thickBot="1" x14ac:dyDescent="0.35">
      <c r="B86" s="32" t="s">
        <v>234</v>
      </c>
      <c r="J86" s="498" t="str">
        <f>Presupuesto!D24</f>
        <v>M3</v>
      </c>
    </row>
    <row r="87" spans="2:12" ht="16.95" customHeight="1" thickBot="1" x14ac:dyDescent="0.35">
      <c r="B87" s="269" t="str">
        <f>Presupuesto!B24</f>
        <v>EXCAVACION MANUAL EN MATERIAL COMUN</v>
      </c>
      <c r="C87" s="523" t="s">
        <v>181</v>
      </c>
      <c r="D87" s="523" t="s">
        <v>182</v>
      </c>
      <c r="E87" s="523" t="s">
        <v>183</v>
      </c>
      <c r="F87" s="523" t="s">
        <v>184</v>
      </c>
      <c r="G87" s="523" t="s">
        <v>185</v>
      </c>
      <c r="H87" s="523" t="s">
        <v>186</v>
      </c>
      <c r="I87" s="523" t="s">
        <v>187</v>
      </c>
      <c r="J87" s="524" t="s">
        <v>188</v>
      </c>
    </row>
    <row r="88" spans="2:12" x14ac:dyDescent="0.3">
      <c r="B88" s="270" t="s">
        <v>180</v>
      </c>
      <c r="C88" s="355"/>
      <c r="D88" s="261"/>
      <c r="E88" s="261"/>
      <c r="F88" s="262"/>
      <c r="G88" s="262"/>
      <c r="H88" s="263"/>
      <c r="I88" s="262"/>
      <c r="J88" s="354">
        <f>E88</f>
        <v>0</v>
      </c>
    </row>
    <row r="89" spans="2:12" x14ac:dyDescent="0.3">
      <c r="B89" s="525"/>
      <c r="C89" s="355" t="s">
        <v>348</v>
      </c>
      <c r="D89" s="261">
        <f>+D58</f>
        <v>2</v>
      </c>
      <c r="E89" s="261">
        <v>0.7</v>
      </c>
      <c r="F89" s="262">
        <v>0.8</v>
      </c>
      <c r="G89" s="262">
        <v>0.7</v>
      </c>
      <c r="H89" s="263"/>
      <c r="I89" s="263">
        <f>D89*E89*F89*G89</f>
        <v>0.78399999999999992</v>
      </c>
      <c r="J89" s="354">
        <f>I89</f>
        <v>0.78399999999999992</v>
      </c>
    </row>
    <row r="90" spans="2:12" x14ac:dyDescent="0.3">
      <c r="B90" s="272"/>
      <c r="C90" s="355"/>
      <c r="D90" s="261"/>
      <c r="E90" s="261"/>
      <c r="F90" s="262"/>
      <c r="G90" s="262"/>
      <c r="H90" s="263"/>
      <c r="I90" s="263"/>
      <c r="J90" s="354"/>
    </row>
    <row r="91" spans="2:12" x14ac:dyDescent="0.3">
      <c r="B91" s="272"/>
      <c r="C91" s="261"/>
      <c r="D91" s="261"/>
      <c r="E91" s="261"/>
      <c r="F91" s="262"/>
      <c r="G91" s="262"/>
      <c r="H91" s="263"/>
      <c r="I91" s="263"/>
      <c r="J91" s="354"/>
    </row>
    <row r="92" spans="2:12" x14ac:dyDescent="0.3">
      <c r="B92" s="272"/>
      <c r="C92" s="261"/>
      <c r="D92" s="261"/>
      <c r="E92" s="261"/>
      <c r="F92" s="262"/>
      <c r="G92" s="262"/>
      <c r="H92" s="263"/>
      <c r="I92" s="262"/>
      <c r="J92" s="354"/>
    </row>
    <row r="93" spans="2:12" ht="15" thickBot="1" x14ac:dyDescent="0.35">
      <c r="B93" s="266" t="s">
        <v>246</v>
      </c>
      <c r="C93" s="267"/>
      <c r="D93" s="267"/>
      <c r="E93" s="267"/>
      <c r="F93" s="267"/>
      <c r="G93" s="267"/>
      <c r="H93" s="267"/>
      <c r="I93" s="267"/>
      <c r="J93" s="268">
        <f>ROUND((SUM(J88:J92)),2)</f>
        <v>0.78</v>
      </c>
    </row>
    <row r="95" spans="2:12" ht="15" thickBot="1" x14ac:dyDescent="0.35">
      <c r="B95" s="32" t="s">
        <v>235</v>
      </c>
      <c r="J95" s="498" t="str">
        <f>Presupuesto!D25</f>
        <v>M3</v>
      </c>
    </row>
    <row r="96" spans="2:12" ht="15" thickBot="1" x14ac:dyDescent="0.35">
      <c r="B96" s="269" t="str">
        <f>Presupuesto!B25</f>
        <v>RELLENO  Y COMPACTACION MATERIAL SELECCIONADO</v>
      </c>
      <c r="C96" s="523" t="s">
        <v>181</v>
      </c>
      <c r="D96" s="523" t="s">
        <v>182</v>
      </c>
      <c r="E96" s="523" t="s">
        <v>183</v>
      </c>
      <c r="F96" s="523" t="s">
        <v>184</v>
      </c>
      <c r="G96" s="523" t="s">
        <v>185</v>
      </c>
      <c r="H96" s="523" t="s">
        <v>186</v>
      </c>
      <c r="I96" s="523" t="s">
        <v>187</v>
      </c>
      <c r="J96" s="524" t="s">
        <v>188</v>
      </c>
    </row>
    <row r="97" spans="2:10" x14ac:dyDescent="0.3">
      <c r="B97" s="270" t="s">
        <v>180</v>
      </c>
      <c r="C97" s="355"/>
      <c r="D97" s="261"/>
      <c r="E97" s="261"/>
      <c r="F97" s="262"/>
      <c r="G97" s="262"/>
      <c r="H97" s="263"/>
      <c r="I97" s="262"/>
      <c r="J97" s="354">
        <f>E97</f>
        <v>0</v>
      </c>
    </row>
    <row r="98" spans="2:10" x14ac:dyDescent="0.3">
      <c r="B98" s="525"/>
      <c r="C98" s="261" t="s">
        <v>311</v>
      </c>
      <c r="D98" s="261">
        <f>+D89</f>
        <v>2</v>
      </c>
      <c r="E98" s="261">
        <v>0.7</v>
      </c>
      <c r="F98" s="262">
        <v>0.8</v>
      </c>
      <c r="G98" s="262">
        <v>0.7</v>
      </c>
      <c r="H98" s="263"/>
      <c r="I98" s="263">
        <f>(D98*E98*F98*G98)-0.01575</f>
        <v>0.76824999999999988</v>
      </c>
      <c r="J98" s="354">
        <f>I98</f>
        <v>0.76824999999999988</v>
      </c>
    </row>
    <row r="99" spans="2:10" x14ac:dyDescent="0.3">
      <c r="B99" s="272"/>
      <c r="C99" s="261"/>
      <c r="D99" s="261"/>
      <c r="E99" s="261"/>
      <c r="F99" s="262"/>
      <c r="G99" s="262"/>
      <c r="H99" s="263"/>
      <c r="I99" s="263"/>
      <c r="J99" s="354"/>
    </row>
    <row r="100" spans="2:10" x14ac:dyDescent="0.3">
      <c r="B100" s="272"/>
      <c r="C100" s="261"/>
      <c r="D100" s="261"/>
      <c r="E100" s="261"/>
      <c r="F100" s="262"/>
      <c r="G100" s="262"/>
      <c r="H100" s="263"/>
      <c r="I100" s="263"/>
      <c r="J100" s="354"/>
    </row>
    <row r="101" spans="2:10" x14ac:dyDescent="0.3">
      <c r="B101" s="272"/>
      <c r="C101" s="261"/>
      <c r="D101" s="261"/>
      <c r="E101" s="261"/>
      <c r="F101" s="262"/>
      <c r="G101" s="262"/>
      <c r="H101" s="263"/>
      <c r="I101" s="262"/>
      <c r="J101" s="354"/>
    </row>
    <row r="102" spans="2:10" ht="15" thickBot="1" x14ac:dyDescent="0.35">
      <c r="B102" s="266" t="s">
        <v>246</v>
      </c>
      <c r="C102" s="267"/>
      <c r="D102" s="267"/>
      <c r="E102" s="267"/>
      <c r="F102" s="267"/>
      <c r="G102" s="267"/>
      <c r="H102" s="267"/>
      <c r="I102" s="267"/>
      <c r="J102" s="268">
        <f>ROUND((SUM(J97:J101)),2)</f>
        <v>0.77</v>
      </c>
    </row>
    <row r="104" spans="2:10" ht="15" thickBot="1" x14ac:dyDescent="0.35">
      <c r="B104" s="32" t="s">
        <v>243</v>
      </c>
      <c r="J104" s="376" t="str">
        <f>Presupuesto!D26</f>
        <v>M2</v>
      </c>
    </row>
    <row r="105" spans="2:10" ht="23.4" customHeight="1" thickBot="1" x14ac:dyDescent="0.35">
      <c r="B105" s="269" t="str">
        <f>Presupuesto!B26</f>
        <v>SOLADO LIMPIEZA E=0.05 R-14MPA</v>
      </c>
      <c r="C105" s="259" t="s">
        <v>181</v>
      </c>
      <c r="D105" s="259" t="s">
        <v>182</v>
      </c>
      <c r="E105" s="259" t="s">
        <v>183</v>
      </c>
      <c r="F105" s="259" t="s">
        <v>184</v>
      </c>
      <c r="G105" s="259" t="s">
        <v>185</v>
      </c>
      <c r="H105" s="259" t="s">
        <v>186</v>
      </c>
      <c r="I105" s="259" t="s">
        <v>187</v>
      </c>
      <c r="J105" s="353" t="s">
        <v>188</v>
      </c>
    </row>
    <row r="106" spans="2:10" x14ac:dyDescent="0.3">
      <c r="B106" s="270" t="s">
        <v>180</v>
      </c>
      <c r="C106" s="355"/>
      <c r="D106" s="261"/>
      <c r="E106" s="261"/>
      <c r="F106" s="262"/>
      <c r="G106" s="262"/>
      <c r="H106" s="263"/>
      <c r="I106" s="262"/>
      <c r="J106" s="265">
        <f>I106</f>
        <v>0</v>
      </c>
    </row>
    <row r="107" spans="2:10" x14ac:dyDescent="0.3">
      <c r="B107" s="272"/>
      <c r="C107" s="261" t="s">
        <v>311</v>
      </c>
      <c r="D107" s="261">
        <f>+D89</f>
        <v>2</v>
      </c>
      <c r="E107" s="261">
        <v>0.7</v>
      </c>
      <c r="F107" s="262">
        <v>0.8</v>
      </c>
      <c r="G107" s="262"/>
      <c r="H107" s="263"/>
      <c r="I107" s="263"/>
      <c r="J107" s="265">
        <f>D107*E107*F107</f>
        <v>1.1199999999999999</v>
      </c>
    </row>
    <row r="108" spans="2:10" x14ac:dyDescent="0.3">
      <c r="B108" s="272"/>
      <c r="C108" s="355"/>
      <c r="D108" s="261"/>
      <c r="E108" s="261"/>
      <c r="F108" s="262"/>
      <c r="G108" s="262"/>
      <c r="H108" s="263"/>
      <c r="I108" s="263"/>
      <c r="J108" s="264">
        <f>H108</f>
        <v>0</v>
      </c>
    </row>
    <row r="109" spans="2:10" x14ac:dyDescent="0.3">
      <c r="B109" s="272"/>
      <c r="C109" s="355"/>
      <c r="D109" s="261"/>
      <c r="E109" s="261"/>
      <c r="F109" s="262"/>
      <c r="G109" s="262"/>
      <c r="H109" s="263"/>
      <c r="I109" s="263"/>
      <c r="J109" s="264">
        <f>H109</f>
        <v>0</v>
      </c>
    </row>
    <row r="110" spans="2:10" x14ac:dyDescent="0.3">
      <c r="B110" s="272"/>
      <c r="C110" s="261"/>
      <c r="D110" s="261"/>
      <c r="E110" s="261"/>
      <c r="F110" s="262"/>
      <c r="G110" s="262"/>
      <c r="H110" s="263"/>
      <c r="I110" s="262"/>
      <c r="J110" s="354"/>
    </row>
    <row r="111" spans="2:10" ht="15" thickBot="1" x14ac:dyDescent="0.35">
      <c r="B111" s="266" t="s">
        <v>246</v>
      </c>
      <c r="C111" s="267"/>
      <c r="D111" s="267"/>
      <c r="E111" s="267"/>
      <c r="F111" s="267"/>
      <c r="G111" s="267"/>
      <c r="H111" s="267"/>
      <c r="I111" s="267"/>
      <c r="J111" s="268">
        <f>ROUND((SUM(J106:J110)),2)</f>
        <v>1.1200000000000001</v>
      </c>
    </row>
    <row r="114" spans="2:10" ht="15" thickBot="1" x14ac:dyDescent="0.35">
      <c r="B114" s="32" t="s">
        <v>244</v>
      </c>
      <c r="J114" s="376" t="str">
        <f>Presupuesto!D27</f>
        <v>M3</v>
      </c>
    </row>
    <row r="115" spans="2:10" ht="27.6" customHeight="1" thickBot="1" x14ac:dyDescent="0.35">
      <c r="B115" s="449" t="str">
        <f>Presupuesto!B27</f>
        <v>CONCRETO PARA ZAPATAS R-21MPA</v>
      </c>
      <c r="C115" s="259" t="s">
        <v>181</v>
      </c>
      <c r="D115" s="259" t="s">
        <v>182</v>
      </c>
      <c r="E115" s="259" t="s">
        <v>183</v>
      </c>
      <c r="F115" s="259" t="s">
        <v>184</v>
      </c>
      <c r="G115" s="259" t="s">
        <v>185</v>
      </c>
      <c r="H115" s="259" t="s">
        <v>186</v>
      </c>
      <c r="I115" s="259" t="s">
        <v>187</v>
      </c>
      <c r="J115" s="353" t="s">
        <v>188</v>
      </c>
    </row>
    <row r="116" spans="2:10" x14ac:dyDescent="0.3">
      <c r="B116" s="270" t="s">
        <v>180</v>
      </c>
      <c r="C116" s="355"/>
      <c r="D116" s="261"/>
      <c r="E116" s="261"/>
      <c r="F116" s="262"/>
      <c r="G116" s="262"/>
      <c r="H116" s="263"/>
      <c r="I116" s="262"/>
      <c r="J116" s="265">
        <f>E116</f>
        <v>0</v>
      </c>
    </row>
    <row r="117" spans="2:10" x14ac:dyDescent="0.3">
      <c r="B117" s="272"/>
      <c r="C117" s="355" t="s">
        <v>348</v>
      </c>
      <c r="D117" s="261">
        <f>+D107</f>
        <v>2</v>
      </c>
      <c r="E117" s="261">
        <v>0.7</v>
      </c>
      <c r="F117" s="262">
        <v>0.8</v>
      </c>
      <c r="G117" s="262">
        <v>0.25</v>
      </c>
      <c r="H117" s="263"/>
      <c r="I117" s="263">
        <f>D117*E117*F117*G117</f>
        <v>0.27999999999999997</v>
      </c>
      <c r="J117" s="265">
        <f>I117</f>
        <v>0.27999999999999997</v>
      </c>
    </row>
    <row r="118" spans="2:10" x14ac:dyDescent="0.3">
      <c r="B118" s="272"/>
      <c r="C118" s="355"/>
      <c r="D118" s="261"/>
      <c r="E118" s="261"/>
      <c r="F118" s="262"/>
      <c r="G118" s="262"/>
      <c r="H118" s="263"/>
      <c r="I118" s="263"/>
      <c r="J118" s="264">
        <f>H118</f>
        <v>0</v>
      </c>
    </row>
    <row r="119" spans="2:10" x14ac:dyDescent="0.3">
      <c r="B119" s="272"/>
      <c r="C119" s="261"/>
      <c r="D119" s="261"/>
      <c r="E119" s="261"/>
      <c r="F119" s="262"/>
      <c r="G119" s="262"/>
      <c r="H119" s="263"/>
      <c r="I119" s="263"/>
      <c r="J119" s="265"/>
    </row>
    <row r="120" spans="2:10" x14ac:dyDescent="0.3">
      <c r="B120" s="272"/>
      <c r="C120" s="261"/>
      <c r="D120" s="261"/>
      <c r="E120" s="261"/>
      <c r="F120" s="262"/>
      <c r="G120" s="262"/>
      <c r="H120" s="263"/>
      <c r="I120" s="262"/>
      <c r="J120" s="354"/>
    </row>
    <row r="121" spans="2:10" ht="15" thickBot="1" x14ac:dyDescent="0.35">
      <c r="B121" s="266" t="s">
        <v>246</v>
      </c>
      <c r="C121" s="267"/>
      <c r="D121" s="267"/>
      <c r="E121" s="267"/>
      <c r="F121" s="267"/>
      <c r="G121" s="267"/>
      <c r="H121" s="267"/>
      <c r="I121" s="267"/>
      <c r="J121" s="268">
        <f>ROUND((SUM(J116:J120)),2)</f>
        <v>0.28000000000000003</v>
      </c>
    </row>
    <row r="123" spans="2:10" ht="15" thickBot="1" x14ac:dyDescent="0.35">
      <c r="B123" s="32" t="s">
        <v>245</v>
      </c>
      <c r="J123" s="498" t="str">
        <f>Presupuesto!D28</f>
        <v>M3</v>
      </c>
    </row>
    <row r="124" spans="2:10" ht="15" thickBot="1" x14ac:dyDescent="0.35">
      <c r="B124" s="449" t="str">
        <f>Presupuesto!B28</f>
        <v>CONCRETO VIGA AEREA</v>
      </c>
      <c r="C124" s="523" t="s">
        <v>181</v>
      </c>
      <c r="D124" s="523" t="s">
        <v>182</v>
      </c>
      <c r="E124" s="523" t="s">
        <v>183</v>
      </c>
      <c r="F124" s="523" t="s">
        <v>184</v>
      </c>
      <c r="G124" s="523" t="s">
        <v>185</v>
      </c>
      <c r="H124" s="523" t="s">
        <v>186</v>
      </c>
      <c r="I124" s="523" t="s">
        <v>187</v>
      </c>
      <c r="J124" s="524" t="s">
        <v>188</v>
      </c>
    </row>
    <row r="125" spans="2:10" x14ac:dyDescent="0.3">
      <c r="B125" s="270" t="s">
        <v>180</v>
      </c>
      <c r="C125" s="557"/>
      <c r="D125" s="261"/>
      <c r="E125" s="261"/>
      <c r="F125" s="262"/>
      <c r="G125" s="262"/>
      <c r="H125" s="263"/>
      <c r="I125" s="262"/>
      <c r="J125" s="354">
        <f>E125</f>
        <v>0</v>
      </c>
    </row>
    <row r="126" spans="2:10" x14ac:dyDescent="0.3">
      <c r="B126" s="525"/>
      <c r="C126" s="355" t="s">
        <v>391</v>
      </c>
      <c r="D126" s="261">
        <v>1</v>
      </c>
      <c r="E126" s="261">
        <v>7.84</v>
      </c>
      <c r="F126" s="262">
        <v>0.2</v>
      </c>
      <c r="G126" s="262">
        <v>0.25</v>
      </c>
      <c r="H126" s="263"/>
      <c r="I126" s="262">
        <f>D126*E126*F126*G126</f>
        <v>0.39200000000000002</v>
      </c>
      <c r="J126" s="526">
        <f>I126</f>
        <v>0.39200000000000002</v>
      </c>
    </row>
    <row r="127" spans="2:10" x14ac:dyDescent="0.3">
      <c r="B127" s="272"/>
      <c r="C127" s="355"/>
      <c r="D127" s="261"/>
      <c r="E127" s="261"/>
      <c r="F127" s="262"/>
      <c r="G127" s="262"/>
      <c r="H127" s="263"/>
      <c r="I127" s="263"/>
      <c r="J127" s="526">
        <f>H127</f>
        <v>0</v>
      </c>
    </row>
    <row r="128" spans="2:10" x14ac:dyDescent="0.3">
      <c r="B128" s="272"/>
      <c r="C128" s="451"/>
      <c r="D128" s="261"/>
      <c r="E128" s="261"/>
      <c r="F128" s="262"/>
      <c r="G128" s="262"/>
      <c r="H128" s="263"/>
      <c r="I128" s="263"/>
      <c r="J128" s="526">
        <f>H128</f>
        <v>0</v>
      </c>
    </row>
    <row r="129" spans="2:10" x14ac:dyDescent="0.3">
      <c r="B129" s="272"/>
      <c r="C129" s="451"/>
      <c r="D129" s="261"/>
      <c r="E129" s="261"/>
      <c r="F129" s="262"/>
      <c r="G129" s="262"/>
      <c r="H129" s="263"/>
      <c r="I129" s="263"/>
      <c r="J129" s="354"/>
    </row>
    <row r="130" spans="2:10" x14ac:dyDescent="0.3">
      <c r="B130" s="272"/>
      <c r="C130" s="261"/>
      <c r="D130" s="261"/>
      <c r="E130" s="261"/>
      <c r="F130" s="262"/>
      <c r="G130" s="262"/>
      <c r="H130" s="263"/>
      <c r="I130" s="262"/>
      <c r="J130" s="354"/>
    </row>
    <row r="131" spans="2:10" ht="15" thickBot="1" x14ac:dyDescent="0.35">
      <c r="B131" s="266" t="s">
        <v>246</v>
      </c>
      <c r="C131" s="267"/>
      <c r="D131" s="267"/>
      <c r="E131" s="267"/>
      <c r="F131" s="267"/>
      <c r="G131" s="267"/>
      <c r="H131" s="267"/>
      <c r="I131" s="267"/>
      <c r="J131" s="268">
        <f>ROUND((SUM(J125:J130)),2)</f>
        <v>0.39</v>
      </c>
    </row>
    <row r="133" spans="2:10" ht="15" thickBot="1" x14ac:dyDescent="0.35">
      <c r="B133" s="32" t="s">
        <v>284</v>
      </c>
      <c r="J133" s="498" t="str">
        <f>Presupuesto!D29</f>
        <v>KG</v>
      </c>
    </row>
    <row r="134" spans="2:10" ht="36.6" customHeight="1" thickBot="1" x14ac:dyDescent="0.35">
      <c r="B134" s="449" t="str">
        <f>Presupuesto!B29</f>
        <v>ACERO DE REFUERZO FY=420MPA, INCLUYE FIGURADO, AMARRE E INSTALACIÓN</v>
      </c>
      <c r="C134" s="523" t="s">
        <v>181</v>
      </c>
      <c r="D134" s="523" t="s">
        <v>182</v>
      </c>
      <c r="E134" s="523" t="s">
        <v>183</v>
      </c>
      <c r="F134" s="556" t="s">
        <v>349</v>
      </c>
      <c r="G134" s="523" t="s">
        <v>185</v>
      </c>
      <c r="H134" s="523" t="s">
        <v>186</v>
      </c>
      <c r="I134" s="523" t="s">
        <v>316</v>
      </c>
      <c r="J134" s="524" t="s">
        <v>188</v>
      </c>
    </row>
    <row r="135" spans="2:10" x14ac:dyDescent="0.3">
      <c r="B135" s="270" t="s">
        <v>180</v>
      </c>
      <c r="C135" s="355" t="s">
        <v>315</v>
      </c>
      <c r="D135" s="261"/>
      <c r="E135" s="261"/>
      <c r="F135" s="262"/>
      <c r="G135" s="262"/>
      <c r="H135" s="263"/>
      <c r="I135" s="262"/>
      <c r="J135" s="354">
        <f>I135</f>
        <v>0</v>
      </c>
    </row>
    <row r="136" spans="2:10" x14ac:dyDescent="0.3">
      <c r="B136" s="525"/>
      <c r="C136" s="355"/>
      <c r="D136" s="261"/>
      <c r="E136" s="261"/>
      <c r="F136" s="262"/>
      <c r="G136" s="262"/>
      <c r="H136" s="263"/>
      <c r="I136" s="262"/>
      <c r="J136" s="354"/>
    </row>
    <row r="137" spans="2:10" x14ac:dyDescent="0.3">
      <c r="B137" s="272"/>
      <c r="C137" s="355" t="s">
        <v>350</v>
      </c>
      <c r="D137" s="261">
        <f>4*D117</f>
        <v>8</v>
      </c>
      <c r="E137" s="261">
        <f>3.6+0.2</f>
        <v>3.8000000000000003</v>
      </c>
      <c r="F137" s="262">
        <v>0.996</v>
      </c>
      <c r="G137" s="262"/>
      <c r="H137" s="263"/>
      <c r="I137" s="263">
        <f>D137*E137*F137</f>
        <v>30.278400000000001</v>
      </c>
      <c r="J137" s="526">
        <f>I137</f>
        <v>30.278400000000001</v>
      </c>
    </row>
    <row r="138" spans="2:10" x14ac:dyDescent="0.3">
      <c r="B138" s="272"/>
      <c r="C138" s="355" t="s">
        <v>313</v>
      </c>
      <c r="D138" s="261">
        <f>(E137/0.15)*2</f>
        <v>50.666666666666671</v>
      </c>
      <c r="E138" s="261">
        <v>1</v>
      </c>
      <c r="F138" s="262">
        <v>0.55700000000000005</v>
      </c>
      <c r="G138" s="262"/>
      <c r="H138" s="263"/>
      <c r="I138" s="263">
        <f>D138*E138*F138</f>
        <v>28.221333333333337</v>
      </c>
      <c r="J138" s="526">
        <f>I138</f>
        <v>28.221333333333337</v>
      </c>
    </row>
    <row r="139" spans="2:10" x14ac:dyDescent="0.3">
      <c r="B139" s="272"/>
      <c r="C139" s="355" t="s">
        <v>390</v>
      </c>
      <c r="D139" s="261"/>
      <c r="E139" s="261"/>
      <c r="F139" s="262"/>
      <c r="G139" s="262"/>
      <c r="H139" s="263"/>
      <c r="I139" s="263"/>
      <c r="J139" s="526">
        <f t="shared" ref="J139:J143" si="0">I139</f>
        <v>0</v>
      </c>
    </row>
    <row r="140" spans="2:10" x14ac:dyDescent="0.3">
      <c r="B140" s="272"/>
      <c r="C140" s="355" t="s">
        <v>350</v>
      </c>
      <c r="D140" s="261">
        <v>4</v>
      </c>
      <c r="E140" s="261">
        <f>E126</f>
        <v>7.84</v>
      </c>
      <c r="F140" s="262">
        <v>0.996</v>
      </c>
      <c r="G140" s="262"/>
      <c r="H140" s="263"/>
      <c r="I140" s="263">
        <f>D140*E140*F140</f>
        <v>31.234559999999998</v>
      </c>
      <c r="J140" s="526">
        <f t="shared" si="0"/>
        <v>31.234559999999998</v>
      </c>
    </row>
    <row r="141" spans="2:10" x14ac:dyDescent="0.3">
      <c r="B141" s="272"/>
      <c r="C141" s="355" t="s">
        <v>313</v>
      </c>
      <c r="D141" s="261">
        <f>(E140/0.15)*2</f>
        <v>104.53333333333333</v>
      </c>
      <c r="E141" s="261">
        <v>1</v>
      </c>
      <c r="F141" s="262">
        <v>0.55700000000000005</v>
      </c>
      <c r="G141" s="262"/>
      <c r="H141" s="263"/>
      <c r="I141" s="263">
        <f>D141*E141*F141</f>
        <v>58.22506666666667</v>
      </c>
      <c r="J141" s="526">
        <f t="shared" si="0"/>
        <v>58.22506666666667</v>
      </c>
    </row>
    <row r="142" spans="2:10" x14ac:dyDescent="0.3">
      <c r="B142" s="272"/>
      <c r="C142" s="355" t="s">
        <v>314</v>
      </c>
      <c r="D142" s="261"/>
      <c r="E142" s="261"/>
      <c r="F142" s="262"/>
      <c r="G142" s="262"/>
      <c r="H142" s="263"/>
      <c r="I142" s="263"/>
      <c r="J142" s="526"/>
    </row>
    <row r="143" spans="2:10" x14ac:dyDescent="0.3">
      <c r="B143" s="272"/>
      <c r="C143" s="355" t="s">
        <v>351</v>
      </c>
      <c r="D143" s="261">
        <f>7*2</f>
        <v>14</v>
      </c>
      <c r="E143" s="261">
        <v>0.8</v>
      </c>
      <c r="F143" s="262">
        <v>0.996</v>
      </c>
      <c r="G143" s="262"/>
      <c r="H143" s="263"/>
      <c r="I143" s="263">
        <f>D143*E143*F143</f>
        <v>11.155200000000001</v>
      </c>
      <c r="J143" s="526">
        <f t="shared" si="0"/>
        <v>11.155200000000001</v>
      </c>
    </row>
    <row r="144" spans="2:10" x14ac:dyDescent="0.3">
      <c r="B144" s="272"/>
      <c r="C144" s="261"/>
      <c r="D144" s="261"/>
      <c r="E144" s="261"/>
      <c r="F144" s="262"/>
      <c r="G144" s="262"/>
      <c r="H144" s="263"/>
      <c r="I144" s="263"/>
      <c r="J144" s="526"/>
    </row>
    <row r="145" spans="2:10" x14ac:dyDescent="0.3">
      <c r="B145" s="272"/>
      <c r="C145" s="261"/>
      <c r="D145" s="261"/>
      <c r="E145" s="261"/>
      <c r="F145" s="262"/>
      <c r="G145" s="262"/>
      <c r="H145" s="263"/>
      <c r="I145" s="262"/>
      <c r="J145" s="354"/>
    </row>
    <row r="146" spans="2:10" ht="15" thickBot="1" x14ac:dyDescent="0.35">
      <c r="B146" s="266" t="s">
        <v>246</v>
      </c>
      <c r="C146" s="267"/>
      <c r="D146" s="267"/>
      <c r="E146" s="267"/>
      <c r="F146" s="267"/>
      <c r="G146" s="267"/>
      <c r="H146" s="267"/>
      <c r="I146" s="267"/>
      <c r="J146" s="268">
        <f>ROUND((SUM(J135:J145)),2)</f>
        <v>159.11000000000001</v>
      </c>
    </row>
    <row r="148" spans="2:10" ht="15" thickBot="1" x14ac:dyDescent="0.35">
      <c r="B148" s="32" t="s">
        <v>300</v>
      </c>
      <c r="J148" s="498" t="str">
        <f>Presupuesto!D30</f>
        <v>M3</v>
      </c>
    </row>
    <row r="149" spans="2:10" ht="15" thickBot="1" x14ac:dyDescent="0.35">
      <c r="B149" s="449" t="str">
        <f>Presupuesto!B30</f>
        <v>CONCRETO COLUMNAS. 21MPA (3000 PSI)</v>
      </c>
      <c r="C149" s="523" t="s">
        <v>181</v>
      </c>
      <c r="D149" s="523" t="s">
        <v>182</v>
      </c>
      <c r="E149" s="523" t="s">
        <v>183</v>
      </c>
      <c r="F149" s="523" t="s">
        <v>184</v>
      </c>
      <c r="G149" s="523" t="s">
        <v>185</v>
      </c>
      <c r="H149" s="523" t="s">
        <v>186</v>
      </c>
      <c r="I149" s="523" t="s">
        <v>187</v>
      </c>
      <c r="J149" s="524" t="s">
        <v>188</v>
      </c>
    </row>
    <row r="150" spans="2:10" x14ac:dyDescent="0.3">
      <c r="B150" s="270" t="s">
        <v>180</v>
      </c>
      <c r="C150" s="355"/>
      <c r="D150" s="261"/>
      <c r="E150" s="261"/>
      <c r="F150" s="262"/>
      <c r="G150" s="262"/>
      <c r="H150" s="263"/>
      <c r="I150" s="262"/>
      <c r="J150" s="354"/>
    </row>
    <row r="151" spans="2:10" x14ac:dyDescent="0.3">
      <c r="B151" s="525"/>
      <c r="C151" s="355" t="s">
        <v>347</v>
      </c>
      <c r="D151" s="261">
        <f>+D89</f>
        <v>2</v>
      </c>
      <c r="E151" s="261">
        <v>2.8</v>
      </c>
      <c r="F151" s="262">
        <v>0.2</v>
      </c>
      <c r="G151" s="262">
        <v>0.2</v>
      </c>
      <c r="H151" s="263"/>
      <c r="I151" s="262"/>
      <c r="J151" s="354">
        <f>D151*E151*F151*G151</f>
        <v>0.22399999999999998</v>
      </c>
    </row>
    <row r="152" spans="2:10" x14ac:dyDescent="0.3">
      <c r="B152" s="272"/>
      <c r="C152" s="355"/>
      <c r="D152" s="261"/>
      <c r="E152" s="261"/>
      <c r="F152" s="262"/>
      <c r="G152" s="262"/>
      <c r="H152" s="263"/>
      <c r="I152" s="263"/>
      <c r="J152" s="526"/>
    </row>
    <row r="153" spans="2:10" x14ac:dyDescent="0.3">
      <c r="B153" s="272"/>
      <c r="C153" s="261"/>
      <c r="D153" s="261"/>
      <c r="E153" s="261"/>
      <c r="F153" s="262"/>
      <c r="G153" s="262"/>
      <c r="H153" s="263"/>
      <c r="I153" s="263"/>
      <c r="J153" s="354"/>
    </row>
    <row r="154" spans="2:10" x14ac:dyDescent="0.3">
      <c r="B154" s="272"/>
      <c r="C154" s="261"/>
      <c r="D154" s="261"/>
      <c r="E154" s="261"/>
      <c r="F154" s="262"/>
      <c r="G154" s="262"/>
      <c r="H154" s="263"/>
      <c r="I154" s="262"/>
      <c r="J154" s="354"/>
    </row>
    <row r="155" spans="2:10" ht="15" thickBot="1" x14ac:dyDescent="0.35">
      <c r="B155" s="266" t="s">
        <v>246</v>
      </c>
      <c r="C155" s="267"/>
      <c r="D155" s="267"/>
      <c r="E155" s="267"/>
      <c r="F155" s="267"/>
      <c r="G155" s="267"/>
      <c r="H155" s="267"/>
      <c r="I155" s="267"/>
      <c r="J155" s="268">
        <f>ROUND((SUM(J150:J154)),2)</f>
        <v>0.22</v>
      </c>
    </row>
    <row r="156" spans="2:10" x14ac:dyDescent="0.3">
      <c r="B156" s="32"/>
      <c r="C156" s="32"/>
      <c r="D156" s="32"/>
      <c r="E156" s="32"/>
      <c r="F156" s="32"/>
      <c r="G156" s="32"/>
      <c r="H156" s="32"/>
      <c r="I156" s="32"/>
      <c r="J156" s="323"/>
    </row>
    <row r="157" spans="2:10" ht="15" thickBot="1" x14ac:dyDescent="0.35">
      <c r="B157" s="32" t="s">
        <v>352</v>
      </c>
      <c r="J157" s="498" t="str">
        <f>Presupuesto!D31</f>
        <v>M2</v>
      </c>
    </row>
    <row r="158" spans="2:10" ht="15" thickBot="1" x14ac:dyDescent="0.35">
      <c r="B158" s="449" t="str">
        <f>Presupuesto!B31</f>
        <v>MURO EN LADRILLO FAROL NUMERO 4 VISTO</v>
      </c>
      <c r="C158" s="523" t="s">
        <v>181</v>
      </c>
      <c r="D158" s="523" t="s">
        <v>182</v>
      </c>
      <c r="E158" s="523" t="s">
        <v>183</v>
      </c>
      <c r="F158" s="523" t="s">
        <v>184</v>
      </c>
      <c r="G158" s="523" t="s">
        <v>185</v>
      </c>
      <c r="H158" s="523" t="s">
        <v>186</v>
      </c>
      <c r="I158" s="523" t="s">
        <v>187</v>
      </c>
      <c r="J158" s="524" t="s">
        <v>188</v>
      </c>
    </row>
    <row r="159" spans="2:10" x14ac:dyDescent="0.3">
      <c r="B159" s="270" t="s">
        <v>180</v>
      </c>
      <c r="C159" s="355"/>
      <c r="D159" s="261"/>
      <c r="E159" s="261"/>
      <c r="F159" s="262"/>
      <c r="G159" s="262"/>
      <c r="H159" s="263"/>
      <c r="I159" s="262"/>
      <c r="J159" s="354"/>
    </row>
    <row r="160" spans="2:10" x14ac:dyDescent="0.3">
      <c r="B160" s="525"/>
      <c r="C160" s="355" t="s">
        <v>370</v>
      </c>
      <c r="D160" s="261">
        <v>1</v>
      </c>
      <c r="E160" s="261">
        <v>1.4</v>
      </c>
      <c r="F160" s="262"/>
      <c r="G160" s="262">
        <v>2.6</v>
      </c>
      <c r="H160" s="263">
        <f>D160*E160*G160</f>
        <v>3.6399999999999997</v>
      </c>
      <c r="I160" s="262"/>
      <c r="J160" s="354">
        <f>H160</f>
        <v>3.6399999999999997</v>
      </c>
    </row>
    <row r="161" spans="2:10" x14ac:dyDescent="0.3">
      <c r="B161" s="272"/>
      <c r="C161" s="355"/>
      <c r="D161" s="261">
        <v>1</v>
      </c>
      <c r="E161" s="261">
        <v>3</v>
      </c>
      <c r="F161" s="262"/>
      <c r="G161" s="262">
        <v>2.6</v>
      </c>
      <c r="H161" s="263">
        <f>D161*E161*G161</f>
        <v>7.8000000000000007</v>
      </c>
      <c r="I161" s="262"/>
      <c r="J161" s="354">
        <f>H161</f>
        <v>7.8000000000000007</v>
      </c>
    </row>
    <row r="162" spans="2:10" x14ac:dyDescent="0.3">
      <c r="B162" s="272"/>
      <c r="C162" s="355"/>
      <c r="D162" s="261"/>
      <c r="E162" s="261"/>
      <c r="F162" s="262"/>
      <c r="G162" s="262"/>
      <c r="H162" s="263"/>
      <c r="I162" s="263"/>
      <c r="J162" s="354"/>
    </row>
    <row r="163" spans="2:10" x14ac:dyDescent="0.3">
      <c r="B163" s="272"/>
      <c r="C163" s="261"/>
      <c r="D163" s="261"/>
      <c r="E163" s="261"/>
      <c r="F163" s="262"/>
      <c r="G163" s="262"/>
      <c r="H163" s="263"/>
      <c r="I163" s="263"/>
      <c r="J163" s="354"/>
    </row>
    <row r="164" spans="2:10" x14ac:dyDescent="0.3">
      <c r="B164" s="272"/>
      <c r="C164" s="261"/>
      <c r="D164" s="261"/>
      <c r="E164" s="261"/>
      <c r="F164" s="262"/>
      <c r="G164" s="262"/>
      <c r="H164" s="263"/>
      <c r="I164" s="262"/>
      <c r="J164" s="354"/>
    </row>
    <row r="165" spans="2:10" ht="15" thickBot="1" x14ac:dyDescent="0.35">
      <c r="B165" s="266" t="s">
        <v>246</v>
      </c>
      <c r="C165" s="267"/>
      <c r="D165" s="267"/>
      <c r="E165" s="267"/>
      <c r="F165" s="267"/>
      <c r="G165" s="267"/>
      <c r="H165" s="267"/>
      <c r="I165" s="267"/>
      <c r="J165" s="268">
        <f>ROUND((SUM(J159:J164)),2)</f>
        <v>11.44</v>
      </c>
    </row>
    <row r="166" spans="2:10" ht="15" thickBot="1" x14ac:dyDescent="0.35">
      <c r="B166" s="32"/>
      <c r="C166" s="32"/>
      <c r="D166" s="32"/>
      <c r="E166" s="32"/>
      <c r="F166" s="32"/>
      <c r="G166" s="32"/>
      <c r="H166" s="32"/>
      <c r="I166" s="32"/>
      <c r="J166" s="323"/>
    </row>
    <row r="167" spans="2:10" ht="15" thickBot="1" x14ac:dyDescent="0.35">
      <c r="B167" s="668" t="str">
        <f>Presupuesto!B33</f>
        <v>MEJORAMIENTOS DE PISOS</v>
      </c>
      <c r="C167" s="669"/>
      <c r="D167" s="669"/>
      <c r="E167" s="669"/>
      <c r="F167" s="669"/>
      <c r="G167" s="669"/>
      <c r="H167" s="669"/>
      <c r="I167" s="669"/>
      <c r="J167" s="670"/>
    </row>
    <row r="168" spans="2:10" x14ac:dyDescent="0.3">
      <c r="B168" s="32"/>
      <c r="C168" s="32"/>
      <c r="D168" s="32"/>
      <c r="E168" s="32"/>
      <c r="F168" s="32"/>
      <c r="G168" s="32"/>
      <c r="H168" s="32"/>
      <c r="I168" s="32"/>
      <c r="J168" s="323"/>
    </row>
    <row r="169" spans="2:10" ht="15" hidden="1" thickBot="1" x14ac:dyDescent="0.35">
      <c r="B169" s="32" t="s">
        <v>285</v>
      </c>
      <c r="J169" s="376" t="s">
        <v>236</v>
      </c>
    </row>
    <row r="170" spans="2:10" ht="32.4" hidden="1" customHeight="1" thickBot="1" x14ac:dyDescent="0.35">
      <c r="B170" s="449" t="str">
        <f>Presupuesto!B34</f>
        <v>CONTRAPISO DE CONCRETO LIVIANO DE RESISTENCIA A COMPRESIÓN 2,5 MPA ESP 6 CM</v>
      </c>
      <c r="C170" s="259" t="s">
        <v>181</v>
      </c>
      <c r="D170" s="259" t="s">
        <v>182</v>
      </c>
      <c r="E170" s="259" t="s">
        <v>183</v>
      </c>
      <c r="F170" s="259" t="s">
        <v>184</v>
      </c>
      <c r="G170" s="259" t="s">
        <v>185</v>
      </c>
      <c r="H170" s="259" t="s">
        <v>186</v>
      </c>
      <c r="I170" s="259" t="s">
        <v>187</v>
      </c>
      <c r="J170" s="353" t="s">
        <v>188</v>
      </c>
    </row>
    <row r="171" spans="2:10" hidden="1" x14ac:dyDescent="0.3">
      <c r="B171" s="270" t="s">
        <v>180</v>
      </c>
      <c r="C171" s="355"/>
      <c r="D171" s="261"/>
      <c r="E171" s="261"/>
      <c r="F171" s="262"/>
      <c r="G171" s="262"/>
      <c r="H171" s="263"/>
      <c r="I171" s="262"/>
      <c r="J171" s="265">
        <f>E171</f>
        <v>0</v>
      </c>
    </row>
    <row r="172" spans="2:10" hidden="1" x14ac:dyDescent="0.3">
      <c r="C172" s="355" t="s">
        <v>317</v>
      </c>
      <c r="D172" s="261">
        <v>1</v>
      </c>
      <c r="E172" s="261">
        <f>E46</f>
        <v>11.6</v>
      </c>
      <c r="F172" s="262">
        <f>F46</f>
        <v>5</v>
      </c>
      <c r="G172" s="262"/>
      <c r="H172" s="263">
        <f>D172*E172*F172</f>
        <v>58</v>
      </c>
      <c r="I172" s="262"/>
      <c r="J172" s="265">
        <f>H172</f>
        <v>58</v>
      </c>
    </row>
    <row r="173" spans="2:10" hidden="1" x14ac:dyDescent="0.3">
      <c r="B173" s="272"/>
      <c r="C173" s="355" t="s">
        <v>310</v>
      </c>
      <c r="D173" s="261">
        <v>1</v>
      </c>
      <c r="E173" s="261">
        <f>E47</f>
        <v>6.3</v>
      </c>
      <c r="F173" s="262">
        <v>1</v>
      </c>
      <c r="G173" s="262"/>
      <c r="H173" s="263">
        <f>D173*E173*F173</f>
        <v>6.3</v>
      </c>
      <c r="I173" s="263"/>
      <c r="J173" s="264">
        <f>H173</f>
        <v>6.3</v>
      </c>
    </row>
    <row r="174" spans="2:10" hidden="1" x14ac:dyDescent="0.3">
      <c r="B174" s="272"/>
      <c r="C174" s="355"/>
      <c r="D174" s="261"/>
      <c r="E174" s="261"/>
      <c r="F174" s="262"/>
      <c r="G174" s="262"/>
      <c r="H174" s="263"/>
      <c r="I174" s="263"/>
      <c r="J174" s="264">
        <f>H174</f>
        <v>0</v>
      </c>
    </row>
    <row r="175" spans="2:10" hidden="1" x14ac:dyDescent="0.3">
      <c r="B175" s="272"/>
      <c r="C175" s="261"/>
      <c r="D175" s="261"/>
      <c r="E175" s="261"/>
      <c r="F175" s="262"/>
      <c r="G175" s="262"/>
      <c r="H175" s="263"/>
      <c r="I175" s="263"/>
      <c r="J175" s="265"/>
    </row>
    <row r="176" spans="2:10" hidden="1" x14ac:dyDescent="0.3">
      <c r="B176" s="272"/>
      <c r="C176" s="261"/>
      <c r="D176" s="261"/>
      <c r="E176" s="261"/>
      <c r="F176" s="262"/>
      <c r="G176" s="262"/>
      <c r="H176" s="263"/>
      <c r="I176" s="262"/>
      <c r="J176" s="354"/>
    </row>
    <row r="177" spans="2:10" ht="15" hidden="1" thickBot="1" x14ac:dyDescent="0.35">
      <c r="B177" s="266" t="s">
        <v>246</v>
      </c>
      <c r="C177" s="267"/>
      <c r="D177" s="267"/>
      <c r="E177" s="267"/>
      <c r="F177" s="267"/>
      <c r="G177" s="267"/>
      <c r="H177" s="267"/>
      <c r="I177" s="267"/>
      <c r="J177" s="268">
        <f>ROUND((SUM(J171:J176)),2)</f>
        <v>64.3</v>
      </c>
    </row>
    <row r="178" spans="2:10" hidden="1" x14ac:dyDescent="0.3">
      <c r="B178" s="32"/>
      <c r="C178" s="32"/>
      <c r="D178" s="32"/>
      <c r="E178" s="32"/>
      <c r="F178" s="32"/>
      <c r="G178" s="32"/>
      <c r="H178" s="32"/>
      <c r="I178" s="32"/>
      <c r="J178" s="323"/>
    </row>
    <row r="179" spans="2:10" ht="15" hidden="1" thickBot="1" x14ac:dyDescent="0.35">
      <c r="B179" s="32" t="s">
        <v>286</v>
      </c>
      <c r="J179" s="376" t="s">
        <v>236</v>
      </c>
    </row>
    <row r="180" spans="2:10" ht="15" hidden="1" thickBot="1" x14ac:dyDescent="0.35">
      <c r="B180" s="449" t="e">
        <f>Presupuesto!#REF!</f>
        <v>#REF!</v>
      </c>
      <c r="C180" s="259" t="s">
        <v>181</v>
      </c>
      <c r="D180" s="259" t="s">
        <v>182</v>
      </c>
      <c r="E180" s="259" t="s">
        <v>183</v>
      </c>
      <c r="F180" s="259" t="s">
        <v>184</v>
      </c>
      <c r="G180" s="259" t="s">
        <v>185</v>
      </c>
      <c r="H180" s="259" t="s">
        <v>186</v>
      </c>
      <c r="I180" s="259" t="s">
        <v>187</v>
      </c>
      <c r="J180" s="353" t="s">
        <v>188</v>
      </c>
    </row>
    <row r="181" spans="2:10" hidden="1" x14ac:dyDescent="0.3">
      <c r="B181" s="270" t="s">
        <v>180</v>
      </c>
      <c r="C181" s="355"/>
      <c r="D181" s="261"/>
      <c r="E181" s="261"/>
      <c r="F181" s="262"/>
      <c r="G181" s="262"/>
      <c r="H181" s="263"/>
      <c r="I181" s="262"/>
      <c r="J181" s="265">
        <f>E181</f>
        <v>0</v>
      </c>
    </row>
    <row r="182" spans="2:10" hidden="1" x14ac:dyDescent="0.3">
      <c r="C182" s="355" t="s">
        <v>318</v>
      </c>
      <c r="D182" s="261">
        <v>1</v>
      </c>
      <c r="E182" s="261">
        <f>E172</f>
        <v>11.6</v>
      </c>
      <c r="F182" s="262">
        <f>F172</f>
        <v>5</v>
      </c>
      <c r="G182" s="262"/>
      <c r="H182" s="263">
        <f>D182*E182*F182</f>
        <v>58</v>
      </c>
      <c r="I182" s="262"/>
      <c r="J182" s="265">
        <f>H182</f>
        <v>58</v>
      </c>
    </row>
    <row r="183" spans="2:10" hidden="1" x14ac:dyDescent="0.3">
      <c r="B183" s="272"/>
      <c r="C183" s="355"/>
      <c r="D183" s="261"/>
      <c r="E183" s="261"/>
      <c r="F183" s="262"/>
      <c r="G183" s="262"/>
      <c r="H183" s="263"/>
      <c r="I183" s="263"/>
      <c r="J183" s="264">
        <f>H183</f>
        <v>0</v>
      </c>
    </row>
    <row r="184" spans="2:10" hidden="1" x14ac:dyDescent="0.3">
      <c r="B184" s="272"/>
      <c r="C184" s="355"/>
      <c r="D184" s="261"/>
      <c r="E184" s="261"/>
      <c r="F184" s="262"/>
      <c r="G184" s="262"/>
      <c r="H184" s="263"/>
      <c r="I184" s="263"/>
      <c r="J184" s="264">
        <f>H184</f>
        <v>0</v>
      </c>
    </row>
    <row r="185" spans="2:10" hidden="1" x14ac:dyDescent="0.3">
      <c r="B185" s="272"/>
      <c r="C185" s="261"/>
      <c r="D185" s="261"/>
      <c r="E185" s="261"/>
      <c r="F185" s="262"/>
      <c r="G185" s="262"/>
      <c r="H185" s="263"/>
      <c r="I185" s="263"/>
      <c r="J185" s="265"/>
    </row>
    <row r="186" spans="2:10" hidden="1" x14ac:dyDescent="0.3">
      <c r="B186" s="272"/>
      <c r="C186" s="261"/>
      <c r="D186" s="261"/>
      <c r="E186" s="261"/>
      <c r="F186" s="262"/>
      <c r="G186" s="262"/>
      <c r="H186" s="263"/>
      <c r="I186" s="262"/>
      <c r="J186" s="354"/>
    </row>
    <row r="187" spans="2:10" ht="15" hidden="1" thickBot="1" x14ac:dyDescent="0.35">
      <c r="B187" s="266" t="s">
        <v>246</v>
      </c>
      <c r="C187" s="267"/>
      <c r="D187" s="267"/>
      <c r="E187" s="267"/>
      <c r="F187" s="267"/>
      <c r="G187" s="267"/>
      <c r="H187" s="267"/>
      <c r="I187" s="267"/>
      <c r="J187" s="268">
        <f>ROUND((SUM(J181:J186)),2)</f>
        <v>58</v>
      </c>
    </row>
    <row r="188" spans="2:10" x14ac:dyDescent="0.3">
      <c r="B188" s="32"/>
      <c r="C188" s="32"/>
      <c r="D188" s="32"/>
      <c r="E188" s="32"/>
      <c r="F188" s="32"/>
      <c r="G188" s="32"/>
      <c r="H188" s="32"/>
      <c r="I188" s="32"/>
      <c r="J188" s="323"/>
    </row>
    <row r="189" spans="2:10" ht="15" thickBot="1" x14ac:dyDescent="0.35">
      <c r="B189" s="32" t="s">
        <v>285</v>
      </c>
      <c r="J189" s="498" t="str">
        <f>Presupuesto!D34</f>
        <v>M2</v>
      </c>
    </row>
    <row r="190" spans="2:10" ht="33.6" customHeight="1" thickBot="1" x14ac:dyDescent="0.35">
      <c r="B190" s="449" t="str">
        <f>Presupuesto!B34</f>
        <v>CONTRAPISO DE CONCRETO LIVIANO DE RESISTENCIA A COMPRESIÓN 2,5 MPA ESP 6 CM</v>
      </c>
      <c r="C190" s="523" t="s">
        <v>181</v>
      </c>
      <c r="D190" s="523" t="s">
        <v>182</v>
      </c>
      <c r="E190" s="523" t="s">
        <v>183</v>
      </c>
      <c r="F190" s="523" t="s">
        <v>184</v>
      </c>
      <c r="G190" s="523" t="s">
        <v>185</v>
      </c>
      <c r="H190" s="523" t="s">
        <v>186</v>
      </c>
      <c r="I190" s="523" t="s">
        <v>187</v>
      </c>
      <c r="J190" s="524" t="s">
        <v>188</v>
      </c>
    </row>
    <row r="191" spans="2:10" x14ac:dyDescent="0.3">
      <c r="B191" s="270" t="s">
        <v>180</v>
      </c>
      <c r="C191" s="261"/>
      <c r="D191" s="261"/>
      <c r="E191" s="261"/>
      <c r="F191" s="262"/>
      <c r="G191" s="262"/>
      <c r="H191" s="263"/>
      <c r="I191" s="262"/>
      <c r="J191" s="354">
        <f>H191</f>
        <v>0</v>
      </c>
    </row>
    <row r="192" spans="2:10" x14ac:dyDescent="0.3">
      <c r="B192" s="525"/>
      <c r="C192" s="261" t="s">
        <v>367</v>
      </c>
      <c r="D192" s="261">
        <v>1</v>
      </c>
      <c r="E192" s="261">
        <v>4.2</v>
      </c>
      <c r="F192" s="262">
        <v>1.4</v>
      </c>
      <c r="G192" s="262"/>
      <c r="H192" s="263">
        <f>D192*E192*F192</f>
        <v>5.88</v>
      </c>
      <c r="I192" s="262"/>
      <c r="J192" s="354">
        <f>H192</f>
        <v>5.88</v>
      </c>
    </row>
    <row r="193" spans="2:10" x14ac:dyDescent="0.3">
      <c r="B193" s="272"/>
      <c r="C193" s="355"/>
      <c r="D193" s="261"/>
      <c r="E193" s="261"/>
      <c r="F193" s="262"/>
      <c r="G193" s="262"/>
      <c r="H193" s="263"/>
      <c r="I193" s="263"/>
      <c r="J193" s="354"/>
    </row>
    <row r="194" spans="2:10" x14ac:dyDescent="0.3">
      <c r="B194" s="272"/>
      <c r="C194" s="261"/>
      <c r="D194" s="261"/>
      <c r="E194" s="261"/>
      <c r="F194" s="262"/>
      <c r="G194" s="262"/>
      <c r="H194" s="263"/>
      <c r="I194" s="263"/>
      <c r="J194" s="354"/>
    </row>
    <row r="195" spans="2:10" x14ac:dyDescent="0.3">
      <c r="B195" s="272"/>
      <c r="C195" s="261"/>
      <c r="D195" s="261"/>
      <c r="E195" s="261"/>
      <c r="F195" s="262"/>
      <c r="G195" s="262"/>
      <c r="H195" s="263"/>
      <c r="I195" s="262"/>
      <c r="J195" s="354"/>
    </row>
    <row r="196" spans="2:10" ht="15" thickBot="1" x14ac:dyDescent="0.35">
      <c r="B196" s="266" t="s">
        <v>246</v>
      </c>
      <c r="C196" s="267"/>
      <c r="D196" s="267"/>
      <c r="E196" s="267"/>
      <c r="F196" s="267"/>
      <c r="G196" s="267"/>
      <c r="H196" s="267"/>
      <c r="I196" s="267"/>
      <c r="J196" s="268">
        <f>ROUND((SUM(J191:J195)),2)</f>
        <v>5.88</v>
      </c>
    </row>
    <row r="197" spans="2:10" x14ac:dyDescent="0.3">
      <c r="B197" s="32"/>
      <c r="C197" s="32"/>
      <c r="D197" s="32"/>
      <c r="E197" s="32"/>
      <c r="F197" s="32"/>
      <c r="G197" s="32"/>
      <c r="H197" s="32"/>
      <c r="I197" s="32"/>
      <c r="J197" s="323"/>
    </row>
    <row r="198" spans="2:10" ht="15" thickBot="1" x14ac:dyDescent="0.35">
      <c r="B198" s="32" t="s">
        <v>286</v>
      </c>
      <c r="J198" s="498" t="str">
        <f>Presupuesto!D35</f>
        <v>M2</v>
      </c>
    </row>
    <row r="199" spans="2:10" ht="33.6" customHeight="1" thickBot="1" x14ac:dyDescent="0.35">
      <c r="B199" s="449" t="str">
        <f>Presupuesto!B35</f>
        <v>SUMINISTRO E INSTALACIÓN DE CERAMICA PISO GENERAL (INCLUYE ALISTADO)</v>
      </c>
      <c r="C199" s="523" t="s">
        <v>181</v>
      </c>
      <c r="D199" s="523" t="s">
        <v>182</v>
      </c>
      <c r="E199" s="523" t="s">
        <v>183</v>
      </c>
      <c r="F199" s="523" t="s">
        <v>184</v>
      </c>
      <c r="G199" s="523" t="s">
        <v>185</v>
      </c>
      <c r="H199" s="523" t="s">
        <v>186</v>
      </c>
      <c r="I199" s="523" t="s">
        <v>187</v>
      </c>
      <c r="J199" s="524" t="s">
        <v>188</v>
      </c>
    </row>
    <row r="200" spans="2:10" x14ac:dyDescent="0.3">
      <c r="B200" s="270" t="s">
        <v>180</v>
      </c>
      <c r="C200" s="261"/>
      <c r="D200" s="261"/>
      <c r="E200" s="261"/>
      <c r="F200" s="262"/>
      <c r="G200" s="262"/>
      <c r="H200" s="263"/>
      <c r="I200" s="262"/>
      <c r="J200" s="354">
        <f>H200</f>
        <v>0</v>
      </c>
    </row>
    <row r="201" spans="2:10" x14ac:dyDescent="0.3">
      <c r="B201" s="525"/>
      <c r="C201" s="261" t="s">
        <v>367</v>
      </c>
      <c r="D201" s="261">
        <v>1</v>
      </c>
      <c r="E201" s="261">
        <v>7.7</v>
      </c>
      <c r="F201" s="262">
        <v>4.2</v>
      </c>
      <c r="G201" s="262"/>
      <c r="H201" s="263">
        <f>D201*E201*F201</f>
        <v>32.340000000000003</v>
      </c>
      <c r="I201" s="262"/>
      <c r="J201" s="354">
        <f>H201</f>
        <v>32.340000000000003</v>
      </c>
    </row>
    <row r="202" spans="2:10" x14ac:dyDescent="0.3">
      <c r="B202" s="272"/>
      <c r="C202" s="355"/>
      <c r="D202" s="261"/>
      <c r="E202" s="261"/>
      <c r="F202" s="262"/>
      <c r="G202" s="262"/>
      <c r="H202" s="263"/>
      <c r="I202" s="263"/>
      <c r="J202" s="354"/>
    </row>
    <row r="203" spans="2:10" x14ac:dyDescent="0.3">
      <c r="B203" s="272"/>
      <c r="C203" s="355"/>
      <c r="D203" s="261"/>
      <c r="E203" s="261"/>
      <c r="F203" s="262"/>
      <c r="G203" s="262"/>
      <c r="H203" s="263"/>
      <c r="I203" s="263"/>
      <c r="J203" s="526"/>
    </row>
    <row r="204" spans="2:10" x14ac:dyDescent="0.3">
      <c r="B204" s="272"/>
      <c r="C204" s="261"/>
      <c r="D204" s="261"/>
      <c r="E204" s="261"/>
      <c r="F204" s="262"/>
      <c r="G204" s="262"/>
      <c r="H204" s="263"/>
      <c r="I204" s="263"/>
      <c r="J204" s="354"/>
    </row>
    <row r="205" spans="2:10" x14ac:dyDescent="0.3">
      <c r="B205" s="272"/>
      <c r="C205" s="261"/>
      <c r="D205" s="261"/>
      <c r="E205" s="261"/>
      <c r="F205" s="262"/>
      <c r="G205" s="262"/>
      <c r="H205" s="263"/>
      <c r="I205" s="262"/>
      <c r="J205" s="354"/>
    </row>
    <row r="206" spans="2:10" ht="15" thickBot="1" x14ac:dyDescent="0.35">
      <c r="B206" s="266" t="s">
        <v>246</v>
      </c>
      <c r="C206" s="267"/>
      <c r="D206" s="267"/>
      <c r="E206" s="267"/>
      <c r="F206" s="267"/>
      <c r="G206" s="267"/>
      <c r="H206" s="267"/>
      <c r="I206" s="267"/>
      <c r="J206" s="268">
        <f>ROUND((SUM(J200:J205)),2)</f>
        <v>32.340000000000003</v>
      </c>
    </row>
    <row r="207" spans="2:10" x14ac:dyDescent="0.3">
      <c r="B207" s="32"/>
      <c r="C207" s="32"/>
      <c r="D207" s="32"/>
      <c r="E207" s="32"/>
      <c r="F207" s="32"/>
      <c r="G207" s="32"/>
      <c r="H207" s="32"/>
      <c r="I207" s="32"/>
      <c r="J207" s="323"/>
    </row>
    <row r="208" spans="2:10" ht="15" thickBot="1" x14ac:dyDescent="0.35">
      <c r="B208" s="32" t="s">
        <v>287</v>
      </c>
      <c r="J208" s="498" t="str">
        <f>Presupuesto!D36</f>
        <v>ML</v>
      </c>
    </row>
    <row r="209" spans="2:10" ht="33.6" customHeight="1" thickBot="1" x14ac:dyDescent="0.35">
      <c r="B209" s="449" t="str">
        <f>Presupuesto!B36</f>
        <v>GUARDAESCOBA EN CERAMICA</v>
      </c>
      <c r="C209" s="523" t="s">
        <v>181</v>
      </c>
      <c r="D209" s="523" t="s">
        <v>182</v>
      </c>
      <c r="E209" s="523" t="s">
        <v>183</v>
      </c>
      <c r="F209" s="523" t="s">
        <v>184</v>
      </c>
      <c r="G209" s="523" t="s">
        <v>185</v>
      </c>
      <c r="H209" s="523" t="s">
        <v>186</v>
      </c>
      <c r="I209" s="523" t="s">
        <v>187</v>
      </c>
      <c r="J209" s="524" t="s">
        <v>188</v>
      </c>
    </row>
    <row r="210" spans="2:10" x14ac:dyDescent="0.3">
      <c r="B210" s="270" t="s">
        <v>180</v>
      </c>
      <c r="C210" s="261"/>
      <c r="D210" s="261"/>
      <c r="E210" s="261"/>
      <c r="F210" s="262"/>
      <c r="G210" s="262"/>
      <c r="H210" s="263"/>
      <c r="I210" s="262"/>
      <c r="J210" s="354">
        <v>0</v>
      </c>
    </row>
    <row r="211" spans="2:10" x14ac:dyDescent="0.3">
      <c r="B211" s="525"/>
      <c r="C211" s="261" t="s">
        <v>366</v>
      </c>
      <c r="D211" s="261">
        <v>1</v>
      </c>
      <c r="E211" s="261">
        <f>(8.8*2)+(4*2)+(0.25*4)</f>
        <v>26.6</v>
      </c>
      <c r="F211" s="262"/>
      <c r="G211" s="262"/>
      <c r="H211" s="263"/>
      <c r="I211" s="262"/>
      <c r="J211" s="354">
        <f>E211</f>
        <v>26.6</v>
      </c>
    </row>
    <row r="212" spans="2:10" x14ac:dyDescent="0.3">
      <c r="B212" s="272"/>
      <c r="C212" s="355"/>
      <c r="D212" s="261"/>
      <c r="E212" s="261"/>
      <c r="F212" s="262"/>
      <c r="G212" s="262"/>
      <c r="H212" s="263"/>
      <c r="I212" s="263"/>
      <c r="J212" s="354"/>
    </row>
    <row r="213" spans="2:10" x14ac:dyDescent="0.3">
      <c r="B213" s="272"/>
      <c r="C213" s="355"/>
      <c r="D213" s="261"/>
      <c r="E213" s="261"/>
      <c r="F213" s="262"/>
      <c r="G213" s="262"/>
      <c r="H213" s="263"/>
      <c r="I213" s="263"/>
      <c r="J213" s="526">
        <f>H213</f>
        <v>0</v>
      </c>
    </row>
    <row r="214" spans="2:10" x14ac:dyDescent="0.3">
      <c r="B214" s="272"/>
      <c r="C214" s="261"/>
      <c r="D214" s="261"/>
      <c r="E214" s="261"/>
      <c r="F214" s="262"/>
      <c r="G214" s="262"/>
      <c r="H214" s="263"/>
      <c r="I214" s="263"/>
      <c r="J214" s="354"/>
    </row>
    <row r="215" spans="2:10" x14ac:dyDescent="0.3">
      <c r="B215" s="272"/>
      <c r="C215" s="261"/>
      <c r="D215" s="261"/>
      <c r="E215" s="261"/>
      <c r="F215" s="262"/>
      <c r="G215" s="262"/>
      <c r="H215" s="263"/>
      <c r="I215" s="262"/>
      <c r="J215" s="354"/>
    </row>
    <row r="216" spans="2:10" ht="15" thickBot="1" x14ac:dyDescent="0.35">
      <c r="B216" s="266" t="s">
        <v>246</v>
      </c>
      <c r="C216" s="267"/>
      <c r="D216" s="267"/>
      <c r="E216" s="267"/>
      <c r="F216" s="267"/>
      <c r="G216" s="267"/>
      <c r="H216" s="267"/>
      <c r="I216" s="267"/>
      <c r="J216" s="268">
        <f>ROUND((SUM(J210:J215)),2)</f>
        <v>26.6</v>
      </c>
    </row>
    <row r="217" spans="2:10" ht="15" thickBot="1" x14ac:dyDescent="0.35">
      <c r="B217" s="32"/>
      <c r="C217" s="32"/>
      <c r="D217" s="32"/>
      <c r="E217" s="32"/>
      <c r="F217" s="32"/>
      <c r="G217" s="32"/>
      <c r="H217" s="32"/>
      <c r="I217" s="32"/>
      <c r="J217" s="323"/>
    </row>
    <row r="218" spans="2:10" ht="15" thickBot="1" x14ac:dyDescent="0.35">
      <c r="B218" s="668" t="str">
        <f>Presupuesto!B38</f>
        <v>CUBIERTA</v>
      </c>
      <c r="C218" s="669"/>
      <c r="D218" s="669"/>
      <c r="E218" s="669"/>
      <c r="F218" s="669"/>
      <c r="G218" s="669"/>
      <c r="H218" s="669"/>
      <c r="I218" s="669"/>
      <c r="J218" s="670"/>
    </row>
    <row r="219" spans="2:10" x14ac:dyDescent="0.3">
      <c r="B219" s="32"/>
      <c r="C219" s="32"/>
      <c r="D219" s="32"/>
      <c r="E219" s="32"/>
      <c r="F219" s="32"/>
      <c r="G219" s="32"/>
      <c r="H219" s="32"/>
      <c r="I219" s="32"/>
      <c r="J219" s="323"/>
    </row>
    <row r="220" spans="2:10" ht="15" thickBot="1" x14ac:dyDescent="0.35">
      <c r="B220" s="32" t="s">
        <v>301</v>
      </c>
      <c r="J220" s="498" t="str">
        <f>Presupuesto!D39</f>
        <v>KG</v>
      </c>
    </row>
    <row r="221" spans="2:10" ht="27.6" thickBot="1" x14ac:dyDescent="0.35">
      <c r="B221" s="555" t="str">
        <f>Presupuesto!B39</f>
        <v>ESTRUCTURA METALICA PARA CUBIERTA EN PERFIL C Gr50  100 x 50 x 2.0mm x 6m (Incluye soldadura)</v>
      </c>
      <c r="C221" s="553" t="s">
        <v>181</v>
      </c>
      <c r="D221" s="523" t="s">
        <v>182</v>
      </c>
      <c r="E221" s="523" t="s">
        <v>183</v>
      </c>
      <c r="F221" s="523" t="s">
        <v>184</v>
      </c>
      <c r="G221" s="523" t="s">
        <v>386</v>
      </c>
      <c r="H221" s="523" t="s">
        <v>186</v>
      </c>
      <c r="I221" s="523" t="s">
        <v>187</v>
      </c>
      <c r="J221" s="524" t="s">
        <v>387</v>
      </c>
    </row>
    <row r="222" spans="2:10" x14ac:dyDescent="0.3">
      <c r="B222" s="554" t="s">
        <v>180</v>
      </c>
      <c r="C222" s="261" t="s">
        <v>319</v>
      </c>
      <c r="D222" s="261"/>
      <c r="E222" s="261"/>
      <c r="F222" s="262"/>
      <c r="G222" s="262"/>
      <c r="H222" s="263"/>
      <c r="I222" s="263"/>
      <c r="J222" s="526">
        <f>H222</f>
        <v>0</v>
      </c>
    </row>
    <row r="223" spans="2:10" x14ac:dyDescent="0.3">
      <c r="B223" s="547"/>
      <c r="C223" s="355" t="s">
        <v>385</v>
      </c>
      <c r="D223" s="261">
        <v>3</v>
      </c>
      <c r="E223" s="261">
        <v>1.5</v>
      </c>
      <c r="F223" s="262"/>
      <c r="G223" s="262">
        <v>3.38</v>
      </c>
      <c r="H223" s="263"/>
      <c r="I223" s="262"/>
      <c r="J223" s="548">
        <f>+(D223*E223)*G223</f>
        <v>15.209999999999999</v>
      </c>
    </row>
    <row r="224" spans="2:10" x14ac:dyDescent="0.3">
      <c r="B224" s="549"/>
      <c r="C224" s="355"/>
      <c r="D224" s="261">
        <v>2</v>
      </c>
      <c r="E224" s="261">
        <v>4.2</v>
      </c>
      <c r="F224" s="262"/>
      <c r="G224" s="262">
        <v>3.38</v>
      </c>
      <c r="H224" s="263"/>
      <c r="I224" s="263"/>
      <c r="J224" s="548">
        <f>+(D224*E224)*G224</f>
        <v>28.391999999999999</v>
      </c>
    </row>
    <row r="225" spans="2:10" x14ac:dyDescent="0.3">
      <c r="B225" s="549"/>
      <c r="C225" s="355"/>
      <c r="D225" s="261"/>
      <c r="E225" s="261"/>
      <c r="F225" s="262"/>
      <c r="G225" s="262"/>
      <c r="H225" s="263"/>
      <c r="I225" s="263"/>
      <c r="J225" s="526">
        <f>H225</f>
        <v>0</v>
      </c>
    </row>
    <row r="226" spans="2:10" x14ac:dyDescent="0.3">
      <c r="B226" s="549"/>
      <c r="C226" s="261"/>
      <c r="D226" s="261"/>
      <c r="E226" s="261"/>
      <c r="F226" s="262"/>
      <c r="G226" s="262"/>
      <c r="H226" s="263"/>
      <c r="I226" s="263"/>
      <c r="J226" s="354"/>
    </row>
    <row r="227" spans="2:10" x14ac:dyDescent="0.3">
      <c r="B227" s="549"/>
      <c r="C227" s="261"/>
      <c r="D227" s="261"/>
      <c r="E227" s="261"/>
      <c r="F227" s="262"/>
      <c r="G227" s="262"/>
      <c r="H227" s="263"/>
      <c r="I227" s="262"/>
      <c r="J227" s="354"/>
    </row>
    <row r="228" spans="2:10" ht="15" thickBot="1" x14ac:dyDescent="0.35">
      <c r="B228" s="550" t="s">
        <v>246</v>
      </c>
      <c r="C228" s="551"/>
      <c r="D228" s="551"/>
      <c r="E228" s="551"/>
      <c r="F228" s="551"/>
      <c r="G228" s="551"/>
      <c r="H228" s="551"/>
      <c r="I228" s="551"/>
      <c r="J228" s="552">
        <f>ROUND((SUM(J222:J227)),2)</f>
        <v>43.6</v>
      </c>
    </row>
    <row r="229" spans="2:10" x14ac:dyDescent="0.3">
      <c r="B229" s="32"/>
      <c r="C229" s="32"/>
      <c r="D229" s="32"/>
      <c r="E229" s="32"/>
      <c r="F229" s="32"/>
      <c r="G229" s="32"/>
      <c r="H229" s="32"/>
      <c r="I229" s="32"/>
      <c r="J229" s="323"/>
    </row>
    <row r="230" spans="2:10" ht="15" thickBot="1" x14ac:dyDescent="0.35">
      <c r="B230" s="32" t="s">
        <v>302</v>
      </c>
      <c r="J230" s="498" t="str">
        <f>Presupuesto!D40</f>
        <v>M2</v>
      </c>
    </row>
    <row r="231" spans="2:10" ht="15" thickBot="1" x14ac:dyDescent="0.35">
      <c r="B231" s="450" t="str">
        <f>Presupuesto!B40</f>
        <v>SUMINISTRO E INSTALACION DE TEJA DURATECHO</v>
      </c>
      <c r="C231" s="523" t="s">
        <v>181</v>
      </c>
      <c r="D231" s="523" t="s">
        <v>182</v>
      </c>
      <c r="E231" s="523" t="s">
        <v>183</v>
      </c>
      <c r="F231" s="523" t="s">
        <v>184</v>
      </c>
      <c r="G231" s="523" t="s">
        <v>185</v>
      </c>
      <c r="H231" s="523" t="s">
        <v>186</v>
      </c>
      <c r="I231" s="523" t="s">
        <v>187</v>
      </c>
      <c r="J231" s="524" t="s">
        <v>188</v>
      </c>
    </row>
    <row r="232" spans="2:10" x14ac:dyDescent="0.3">
      <c r="B232" s="270" t="s">
        <v>180</v>
      </c>
      <c r="C232" s="355" t="s">
        <v>389</v>
      </c>
      <c r="D232" s="261"/>
      <c r="E232" s="261"/>
      <c r="F232" s="262"/>
      <c r="G232" s="262"/>
      <c r="H232" s="263">
        <f>+J46+(1.6*4.8)</f>
        <v>65.680000000000007</v>
      </c>
      <c r="I232" s="262"/>
      <c r="J232" s="354">
        <f>H232</f>
        <v>65.680000000000007</v>
      </c>
    </row>
    <row r="233" spans="2:10" x14ac:dyDescent="0.3">
      <c r="B233" s="525"/>
      <c r="C233" s="355"/>
      <c r="D233" s="261"/>
      <c r="E233" s="261"/>
      <c r="F233" s="262"/>
      <c r="G233" s="262"/>
      <c r="H233" s="263"/>
      <c r="I233" s="262"/>
      <c r="J233" s="354"/>
    </row>
    <row r="234" spans="2:10" x14ac:dyDescent="0.3">
      <c r="B234" s="272"/>
      <c r="C234" s="355"/>
      <c r="D234" s="261"/>
      <c r="E234" s="261"/>
      <c r="F234" s="262"/>
      <c r="G234" s="262"/>
      <c r="H234" s="263"/>
      <c r="I234" s="263"/>
      <c r="J234" s="526">
        <f>H234</f>
        <v>0</v>
      </c>
    </row>
    <row r="235" spans="2:10" x14ac:dyDescent="0.3">
      <c r="B235" s="272"/>
      <c r="C235" s="355"/>
      <c r="D235" s="261"/>
      <c r="E235" s="261"/>
      <c r="F235" s="262"/>
      <c r="G235" s="262"/>
      <c r="H235" s="263"/>
      <c r="I235" s="263"/>
      <c r="J235" s="526">
        <f>H235</f>
        <v>0</v>
      </c>
    </row>
    <row r="236" spans="2:10" x14ac:dyDescent="0.3">
      <c r="B236" s="272"/>
      <c r="C236" s="261"/>
      <c r="D236" s="261"/>
      <c r="E236" s="261"/>
      <c r="F236" s="262"/>
      <c r="G236" s="262"/>
      <c r="H236" s="263"/>
      <c r="I236" s="263"/>
      <c r="J236" s="354"/>
    </row>
    <row r="237" spans="2:10" x14ac:dyDescent="0.3">
      <c r="B237" s="272"/>
      <c r="C237" s="261"/>
      <c r="D237" s="261"/>
      <c r="E237" s="261"/>
      <c r="F237" s="262"/>
      <c r="G237" s="262"/>
      <c r="H237" s="263"/>
      <c r="I237" s="262"/>
      <c r="J237" s="354"/>
    </row>
    <row r="238" spans="2:10" ht="15" thickBot="1" x14ac:dyDescent="0.35">
      <c r="B238" s="266" t="s">
        <v>246</v>
      </c>
      <c r="C238" s="267"/>
      <c r="D238" s="267"/>
      <c r="E238" s="267"/>
      <c r="F238" s="267"/>
      <c r="G238" s="267"/>
      <c r="H238" s="267"/>
      <c r="I238" s="267"/>
      <c r="J238" s="268">
        <f>ROUND((SUM(J232:J237)),2)</f>
        <v>65.680000000000007</v>
      </c>
    </row>
    <row r="239" spans="2:10" x14ac:dyDescent="0.3">
      <c r="B239" s="32"/>
      <c r="C239" s="32"/>
      <c r="D239" s="32"/>
      <c r="E239" s="32"/>
      <c r="F239" s="32"/>
      <c r="G239" s="32"/>
      <c r="H239" s="32"/>
      <c r="I239" s="32"/>
      <c r="J239" s="323"/>
    </row>
    <row r="240" spans="2:10" ht="15" thickBot="1" x14ac:dyDescent="0.35">
      <c r="B240" s="32" t="s">
        <v>303</v>
      </c>
      <c r="J240" s="498" t="str">
        <f>+Presupuesto!D41</f>
        <v>UND</v>
      </c>
    </row>
    <row r="241" spans="2:12" ht="15" thickBot="1" x14ac:dyDescent="0.35">
      <c r="B241" s="450" t="str">
        <f>+Presupuesto!B41</f>
        <v>SUMINISTRO E INSTALACION DE CABALLETE</v>
      </c>
      <c r="C241" s="523" t="s">
        <v>181</v>
      </c>
      <c r="D241" s="523" t="s">
        <v>182</v>
      </c>
      <c r="E241" s="523" t="s">
        <v>183</v>
      </c>
      <c r="F241" s="523" t="s">
        <v>184</v>
      </c>
      <c r="G241" s="523" t="s">
        <v>185</v>
      </c>
      <c r="H241" s="523" t="s">
        <v>186</v>
      </c>
      <c r="I241" s="523" t="s">
        <v>187</v>
      </c>
      <c r="J241" s="524" t="s">
        <v>188</v>
      </c>
    </row>
    <row r="242" spans="2:12" x14ac:dyDescent="0.3">
      <c r="B242" s="270" t="s">
        <v>180</v>
      </c>
      <c r="C242" s="355" t="s">
        <v>399</v>
      </c>
      <c r="D242" s="261"/>
      <c r="E242" s="261">
        <v>9</v>
      </c>
      <c r="F242" s="262"/>
      <c r="G242" s="262"/>
      <c r="H242" s="263"/>
      <c r="I242" s="262"/>
      <c r="J242" s="354">
        <f>E242</f>
        <v>9</v>
      </c>
    </row>
    <row r="243" spans="2:12" x14ac:dyDescent="0.3">
      <c r="B243" s="525"/>
      <c r="C243" s="355"/>
      <c r="D243" s="261"/>
      <c r="E243" s="261"/>
      <c r="F243" s="262"/>
      <c r="G243" s="262"/>
      <c r="H243" s="263"/>
      <c r="I243" s="262"/>
      <c r="J243" s="354"/>
    </row>
    <row r="244" spans="2:12" x14ac:dyDescent="0.3">
      <c r="B244" s="272"/>
      <c r="C244" s="355"/>
      <c r="D244" s="261"/>
      <c r="E244" s="261"/>
      <c r="F244" s="262"/>
      <c r="G244" s="262"/>
      <c r="H244" s="263"/>
      <c r="I244" s="263"/>
      <c r="J244" s="526">
        <f>H244</f>
        <v>0</v>
      </c>
    </row>
    <row r="245" spans="2:12" x14ac:dyDescent="0.3">
      <c r="B245" s="272"/>
      <c r="C245" s="355"/>
      <c r="D245" s="261"/>
      <c r="E245" s="261"/>
      <c r="F245" s="262"/>
      <c r="G245" s="262"/>
      <c r="H245" s="263"/>
      <c r="I245" s="263"/>
      <c r="J245" s="526">
        <f>H245</f>
        <v>0</v>
      </c>
    </row>
    <row r="246" spans="2:12" x14ac:dyDescent="0.3">
      <c r="B246" s="272"/>
      <c r="C246" s="261"/>
      <c r="D246" s="261"/>
      <c r="E246" s="261"/>
      <c r="F246" s="262"/>
      <c r="G246" s="262"/>
      <c r="H246" s="263"/>
      <c r="I246" s="263"/>
      <c r="J246" s="354"/>
    </row>
    <row r="247" spans="2:12" x14ac:dyDescent="0.3">
      <c r="B247" s="272"/>
      <c r="C247" s="261"/>
      <c r="D247" s="261"/>
      <c r="E247" s="261"/>
      <c r="F247" s="262"/>
      <c r="G247" s="262"/>
      <c r="H247" s="263"/>
      <c r="I247" s="262"/>
      <c r="J247" s="354"/>
    </row>
    <row r="248" spans="2:12" ht="15" thickBot="1" x14ac:dyDescent="0.35">
      <c r="B248" s="266" t="s">
        <v>246</v>
      </c>
      <c r="C248" s="267"/>
      <c r="D248" s="267"/>
      <c r="E248" s="267"/>
      <c r="F248" s="267"/>
      <c r="G248" s="267"/>
      <c r="H248" s="267"/>
      <c r="I248" s="267"/>
      <c r="J248" s="268">
        <f>ROUND((SUM(J242:J247)),2)</f>
        <v>9</v>
      </c>
    </row>
    <row r="249" spans="2:12" ht="15" thickBot="1" x14ac:dyDescent="0.35">
      <c r="B249" s="542"/>
      <c r="C249" s="543"/>
      <c r="D249" s="543"/>
      <c r="E249" s="543"/>
      <c r="F249" s="543"/>
      <c r="G249" s="543"/>
      <c r="H249" s="543"/>
      <c r="I249" s="543"/>
      <c r="J249" s="544"/>
    </row>
    <row r="250" spans="2:12" ht="15" thickBot="1" x14ac:dyDescent="0.35">
      <c r="B250" s="668" t="str">
        <f>Presupuesto!B43</f>
        <v>ACABADOS</v>
      </c>
      <c r="C250" s="669"/>
      <c r="D250" s="669"/>
      <c r="E250" s="669"/>
      <c r="F250" s="669"/>
      <c r="G250" s="669"/>
      <c r="H250" s="669"/>
      <c r="I250" s="669"/>
      <c r="J250" s="670"/>
    </row>
    <row r="251" spans="2:12" x14ac:dyDescent="0.3">
      <c r="B251" s="32"/>
      <c r="C251" s="32"/>
      <c r="D251" s="32"/>
      <c r="E251" s="32"/>
      <c r="F251" s="32"/>
      <c r="G251" s="32"/>
      <c r="H251" s="32"/>
      <c r="I251" s="32"/>
      <c r="J251" s="323"/>
    </row>
    <row r="252" spans="2:12" ht="15" thickBot="1" x14ac:dyDescent="0.35">
      <c r="B252" s="32" t="s">
        <v>304</v>
      </c>
      <c r="J252" s="498" t="str">
        <f>Presupuesto!D44</f>
        <v>M2</v>
      </c>
    </row>
    <row r="253" spans="2:12" ht="30" customHeight="1" thickBot="1" x14ac:dyDescent="0.35">
      <c r="B253" s="450" t="str">
        <f>Presupuesto!B44</f>
        <v>SUMINISTRO Y APLICACIÓN ESTUCO PLASTICO ACRILICO SOBRE MUROS</v>
      </c>
      <c r="C253" s="523" t="s">
        <v>181</v>
      </c>
      <c r="D253" s="523" t="s">
        <v>182</v>
      </c>
      <c r="E253" s="523" t="s">
        <v>183</v>
      </c>
      <c r="F253" s="523" t="s">
        <v>184</v>
      </c>
      <c r="G253" s="523" t="s">
        <v>185</v>
      </c>
      <c r="H253" s="523" t="s">
        <v>186</v>
      </c>
      <c r="I253" s="523" t="s">
        <v>187</v>
      </c>
      <c r="J253" s="524" t="s">
        <v>188</v>
      </c>
      <c r="L253" s="496"/>
    </row>
    <row r="254" spans="2:12" x14ac:dyDescent="0.3">
      <c r="B254" s="270" t="s">
        <v>180</v>
      </c>
      <c r="C254" s="355" t="s">
        <v>371</v>
      </c>
      <c r="D254" s="261">
        <v>1</v>
      </c>
      <c r="E254" s="261">
        <f>(8.8*2)+(4*2)+(0.25*4)</f>
        <v>26.6</v>
      </c>
      <c r="F254" s="262"/>
      <c r="G254" s="262">
        <v>3.75</v>
      </c>
      <c r="H254" s="263">
        <f>D254*E254*G254</f>
        <v>99.75</v>
      </c>
      <c r="I254" s="262"/>
      <c r="J254" s="354">
        <f>H254</f>
        <v>99.75</v>
      </c>
      <c r="L254" s="496"/>
    </row>
    <row r="255" spans="2:12" x14ac:dyDescent="0.3">
      <c r="B255" s="525"/>
      <c r="C255" s="355" t="s">
        <v>372</v>
      </c>
      <c r="D255" s="261">
        <v>1</v>
      </c>
      <c r="E255" s="261">
        <f>(7.7)+(4.2*2)+(0.25*4)</f>
        <v>17.100000000000001</v>
      </c>
      <c r="F255" s="262"/>
      <c r="G255" s="262">
        <v>2.8</v>
      </c>
      <c r="H255" s="263">
        <f t="shared" ref="H255" si="1">D255*E255*G255</f>
        <v>47.88</v>
      </c>
      <c r="I255" s="263"/>
      <c r="J255" s="354">
        <f>H255</f>
        <v>47.88</v>
      </c>
    </row>
    <row r="256" spans="2:12" x14ac:dyDescent="0.3">
      <c r="B256" s="272"/>
      <c r="C256" s="355"/>
      <c r="D256" s="261"/>
      <c r="E256" s="261"/>
      <c r="F256" s="262"/>
      <c r="G256" s="262"/>
      <c r="H256" s="263"/>
      <c r="I256" s="263"/>
      <c r="J256" s="354"/>
    </row>
    <row r="257" spans="2:10" x14ac:dyDescent="0.3">
      <c r="B257" s="272"/>
      <c r="C257" s="355"/>
      <c r="D257" s="261"/>
      <c r="E257" s="261"/>
      <c r="F257" s="262"/>
      <c r="G257" s="262"/>
      <c r="H257" s="263"/>
      <c r="I257" s="263"/>
      <c r="J257" s="354"/>
    </row>
    <row r="258" spans="2:10" x14ac:dyDescent="0.3">
      <c r="B258" s="272"/>
      <c r="C258" s="261"/>
      <c r="D258" s="261"/>
      <c r="E258" s="261"/>
      <c r="F258" s="262"/>
      <c r="G258" s="262"/>
      <c r="H258" s="263"/>
      <c r="I258" s="263"/>
      <c r="J258" s="354"/>
    </row>
    <row r="259" spans="2:10" x14ac:dyDescent="0.3">
      <c r="B259" s="272"/>
      <c r="C259" s="261"/>
      <c r="D259" s="261"/>
      <c r="E259" s="261"/>
      <c r="F259" s="262"/>
      <c r="G259" s="262"/>
      <c r="H259" s="263"/>
      <c r="I259" s="262"/>
      <c r="J259" s="354"/>
    </row>
    <row r="260" spans="2:10" ht="15" thickBot="1" x14ac:dyDescent="0.35">
      <c r="B260" s="266" t="s">
        <v>246</v>
      </c>
      <c r="C260" s="267"/>
      <c r="D260" s="267"/>
      <c r="E260" s="267"/>
      <c r="F260" s="267"/>
      <c r="G260" s="267"/>
      <c r="H260" s="267"/>
      <c r="I260" s="267"/>
      <c r="J260" s="268">
        <f>ROUND((SUM(J254:J259)),2)</f>
        <v>147.63</v>
      </c>
    </row>
    <row r="261" spans="2:10" x14ac:dyDescent="0.3">
      <c r="B261" s="32"/>
      <c r="C261" s="32"/>
      <c r="D261" s="32"/>
      <c r="E261" s="32"/>
      <c r="F261" s="32"/>
      <c r="G261" s="32"/>
      <c r="H261" s="32"/>
      <c r="I261" s="32"/>
      <c r="J261" s="323"/>
    </row>
    <row r="262" spans="2:10" ht="15" thickBot="1" x14ac:dyDescent="0.35">
      <c r="B262" s="32" t="s">
        <v>305</v>
      </c>
      <c r="J262" s="498" t="s">
        <v>236</v>
      </c>
    </row>
    <row r="263" spans="2:10" ht="30" customHeight="1" thickBot="1" x14ac:dyDescent="0.35">
      <c r="B263" s="450" t="str">
        <f>Presupuesto!B45</f>
        <v>SUMINISTRO Y APLICACIÓN PINTURA CORAZA PARA EXTERIORES 3 MANOS</v>
      </c>
      <c r="C263" s="523" t="s">
        <v>181</v>
      </c>
      <c r="D263" s="523" t="s">
        <v>182</v>
      </c>
      <c r="E263" s="523" t="s">
        <v>183</v>
      </c>
      <c r="F263" s="523" t="s">
        <v>184</v>
      </c>
      <c r="G263" s="523" t="s">
        <v>185</v>
      </c>
      <c r="H263" s="523" t="s">
        <v>186</v>
      </c>
      <c r="I263" s="523" t="s">
        <v>187</v>
      </c>
      <c r="J263" s="524" t="s">
        <v>188</v>
      </c>
    </row>
    <row r="264" spans="2:10" x14ac:dyDescent="0.3">
      <c r="B264" s="270" t="s">
        <v>180</v>
      </c>
      <c r="C264" s="355" t="s">
        <v>371</v>
      </c>
      <c r="D264" s="261">
        <v>1</v>
      </c>
      <c r="E264" s="261">
        <f>(8.8*2)+(4*2)+(0.25*4)</f>
        <v>26.6</v>
      </c>
      <c r="F264" s="262"/>
      <c r="G264" s="262">
        <v>3.75</v>
      </c>
      <c r="H264" s="263">
        <f>D264*E264*G264</f>
        <v>99.75</v>
      </c>
      <c r="I264" s="262"/>
      <c r="J264" s="354">
        <f>H264</f>
        <v>99.75</v>
      </c>
    </row>
    <row r="265" spans="2:10" x14ac:dyDescent="0.3">
      <c r="B265" s="545"/>
      <c r="C265" s="355" t="s">
        <v>372</v>
      </c>
      <c r="D265" s="261">
        <v>1</v>
      </c>
      <c r="E265" s="261">
        <f>(7.7)+(4.2*2)+(0.25*4)</f>
        <v>17.100000000000001</v>
      </c>
      <c r="F265" s="262"/>
      <c r="G265" s="262">
        <v>2.8</v>
      </c>
      <c r="H265" s="263">
        <f t="shared" ref="H265" si="2">D265*E265*G265</f>
        <v>47.88</v>
      </c>
      <c r="I265" s="263"/>
      <c r="J265" s="354">
        <f>H265</f>
        <v>47.88</v>
      </c>
    </row>
    <row r="266" spans="2:10" x14ac:dyDescent="0.3">
      <c r="B266" s="525"/>
      <c r="C266" s="355"/>
      <c r="D266" s="261"/>
      <c r="E266" s="261"/>
      <c r="F266" s="262"/>
      <c r="G266" s="262"/>
      <c r="H266" s="263"/>
      <c r="I266" s="263"/>
      <c r="J266" s="354"/>
    </row>
    <row r="267" spans="2:10" x14ac:dyDescent="0.3">
      <c r="B267" s="272"/>
      <c r="C267" s="355"/>
      <c r="D267" s="261"/>
      <c r="E267" s="261"/>
      <c r="F267" s="262"/>
      <c r="G267" s="262"/>
      <c r="H267" s="263"/>
      <c r="I267" s="263"/>
      <c r="J267" s="354"/>
    </row>
    <row r="268" spans="2:10" x14ac:dyDescent="0.3">
      <c r="B268" s="272"/>
      <c r="C268" s="355"/>
      <c r="D268" s="261"/>
      <c r="E268" s="261"/>
      <c r="F268" s="262"/>
      <c r="G268" s="262"/>
      <c r="H268" s="263"/>
      <c r="I268" s="263"/>
      <c r="J268" s="526">
        <f>H268</f>
        <v>0</v>
      </c>
    </row>
    <row r="269" spans="2:10" x14ac:dyDescent="0.3">
      <c r="B269" s="272"/>
      <c r="C269" s="261"/>
      <c r="D269" s="261"/>
      <c r="E269" s="261"/>
      <c r="F269" s="262"/>
      <c r="G269" s="262"/>
      <c r="H269" s="263"/>
      <c r="I269" s="263"/>
      <c r="J269" s="354"/>
    </row>
    <row r="270" spans="2:10" x14ac:dyDescent="0.3">
      <c r="B270" s="272"/>
      <c r="C270" s="261"/>
      <c r="D270" s="261"/>
      <c r="E270" s="261"/>
      <c r="F270" s="262"/>
      <c r="G270" s="262"/>
      <c r="H270" s="263"/>
      <c r="I270" s="262"/>
      <c r="J270" s="354"/>
    </row>
    <row r="271" spans="2:10" ht="15" thickBot="1" x14ac:dyDescent="0.35">
      <c r="B271" s="266" t="s">
        <v>246</v>
      </c>
      <c r="C271" s="267"/>
      <c r="D271" s="267"/>
      <c r="E271" s="267"/>
      <c r="F271" s="267"/>
      <c r="G271" s="267"/>
      <c r="H271" s="267"/>
      <c r="I271" s="267"/>
      <c r="J271" s="268">
        <f>ROUND((SUM(J264:J270)),2)</f>
        <v>147.63</v>
      </c>
    </row>
    <row r="273" spans="2:10" ht="15" thickBot="1" x14ac:dyDescent="0.35">
      <c r="B273" s="32" t="s">
        <v>306</v>
      </c>
      <c r="J273" s="498" t="str">
        <f>Presupuesto!D46</f>
        <v>UND</v>
      </c>
    </row>
    <row r="274" spans="2:10" ht="30" customHeight="1" thickBot="1" x14ac:dyDescent="0.35">
      <c r="B274" s="450" t="str">
        <f>Presupuesto!B46</f>
        <v>VENTANA TIPO REJA EN MARCO GALVANIZADO BARRA CUADRADA MEDIDAS 3,43X1,5 m</v>
      </c>
      <c r="C274" s="523" t="s">
        <v>181</v>
      </c>
      <c r="D274" s="523" t="s">
        <v>182</v>
      </c>
      <c r="E274" s="523" t="s">
        <v>183</v>
      </c>
      <c r="F274" s="523" t="s">
        <v>184</v>
      </c>
      <c r="G274" s="523" t="s">
        <v>185</v>
      </c>
      <c r="H274" s="523" t="s">
        <v>186</v>
      </c>
      <c r="I274" s="523" t="s">
        <v>187</v>
      </c>
      <c r="J274" s="524" t="s">
        <v>188</v>
      </c>
    </row>
    <row r="275" spans="2:10" x14ac:dyDescent="0.3">
      <c r="B275" s="270" t="s">
        <v>180</v>
      </c>
      <c r="C275" s="355"/>
      <c r="D275" s="261"/>
      <c r="E275" s="261"/>
      <c r="F275" s="262"/>
      <c r="G275" s="262"/>
      <c r="H275" s="263"/>
      <c r="I275" s="262"/>
      <c r="J275" s="354">
        <f>E275</f>
        <v>0</v>
      </c>
    </row>
    <row r="276" spans="2:10" x14ac:dyDescent="0.3">
      <c r="B276" s="525"/>
      <c r="C276" s="355" t="s">
        <v>312</v>
      </c>
      <c r="D276" s="261">
        <v>1</v>
      </c>
      <c r="E276" s="261"/>
      <c r="F276" s="262"/>
      <c r="G276" s="262"/>
      <c r="H276" s="263"/>
      <c r="I276" s="262"/>
      <c r="J276" s="354">
        <f>D276</f>
        <v>1</v>
      </c>
    </row>
    <row r="277" spans="2:10" x14ac:dyDescent="0.3">
      <c r="B277" s="272"/>
      <c r="C277" s="355"/>
      <c r="D277" s="261"/>
      <c r="E277" s="261"/>
      <c r="F277" s="262"/>
      <c r="G277" s="262"/>
      <c r="H277" s="263"/>
      <c r="I277" s="263"/>
      <c r="J277" s="526">
        <f>H277</f>
        <v>0</v>
      </c>
    </row>
    <row r="278" spans="2:10" x14ac:dyDescent="0.3">
      <c r="B278" s="272"/>
      <c r="C278" s="355"/>
      <c r="D278" s="261"/>
      <c r="E278" s="261"/>
      <c r="F278" s="262"/>
      <c r="G278" s="262"/>
      <c r="H278" s="263"/>
      <c r="I278" s="263"/>
      <c r="J278" s="526">
        <f>H278</f>
        <v>0</v>
      </c>
    </row>
    <row r="279" spans="2:10" x14ac:dyDescent="0.3">
      <c r="B279" s="272"/>
      <c r="C279" s="261"/>
      <c r="D279" s="261"/>
      <c r="E279" s="261"/>
      <c r="F279" s="262"/>
      <c r="G279" s="262"/>
      <c r="H279" s="263"/>
      <c r="I279" s="263"/>
      <c r="J279" s="354"/>
    </row>
    <row r="280" spans="2:10" x14ac:dyDescent="0.3">
      <c r="B280" s="272"/>
      <c r="C280" s="261"/>
      <c r="D280" s="261"/>
      <c r="E280" s="261"/>
      <c r="F280" s="262"/>
      <c r="G280" s="262"/>
      <c r="H280" s="263"/>
      <c r="I280" s="262"/>
      <c r="J280" s="354"/>
    </row>
    <row r="281" spans="2:10" ht="15" thickBot="1" x14ac:dyDescent="0.35">
      <c r="B281" s="266" t="s">
        <v>246</v>
      </c>
      <c r="C281" s="267"/>
      <c r="D281" s="267"/>
      <c r="E281" s="267"/>
      <c r="F281" s="267"/>
      <c r="G281" s="267"/>
      <c r="H281" s="267"/>
      <c r="I281" s="267"/>
      <c r="J281" s="268">
        <f>ROUND((SUM(J275:J280)),2)</f>
        <v>1</v>
      </c>
    </row>
    <row r="283" spans="2:10" ht="15" thickBot="1" x14ac:dyDescent="0.35">
      <c r="B283" s="32" t="s">
        <v>307</v>
      </c>
      <c r="J283" s="498" t="str">
        <f>Presupuesto!D47</f>
        <v>UND</v>
      </c>
    </row>
    <row r="284" spans="2:10" ht="30" customHeight="1" thickBot="1" x14ac:dyDescent="0.35">
      <c r="B284" s="450" t="str">
        <f>+Presupuesto!B47</f>
        <v>VENTANA TIPO REJA EN MARCO GALVANIZADO BARRA CUADRADA MEDIDAS 1,40X1,50 m</v>
      </c>
      <c r="C284" s="523" t="s">
        <v>181</v>
      </c>
      <c r="D284" s="523" t="s">
        <v>182</v>
      </c>
      <c r="E284" s="523" t="s">
        <v>183</v>
      </c>
      <c r="F284" s="523" t="s">
        <v>184</v>
      </c>
      <c r="G284" s="523" t="s">
        <v>185</v>
      </c>
      <c r="H284" s="523" t="s">
        <v>186</v>
      </c>
      <c r="I284" s="523" t="s">
        <v>187</v>
      </c>
      <c r="J284" s="524" t="s">
        <v>188</v>
      </c>
    </row>
    <row r="285" spans="2:10" x14ac:dyDescent="0.3">
      <c r="B285" s="270" t="s">
        <v>180</v>
      </c>
      <c r="C285" s="355"/>
      <c r="D285" s="261"/>
      <c r="E285" s="261"/>
      <c r="F285" s="262"/>
      <c r="G285" s="262"/>
      <c r="H285" s="263"/>
      <c r="I285" s="262"/>
      <c r="J285" s="354">
        <f>E285</f>
        <v>0</v>
      </c>
    </row>
    <row r="286" spans="2:10" x14ac:dyDescent="0.3">
      <c r="B286" s="525"/>
      <c r="C286" s="355" t="s">
        <v>353</v>
      </c>
      <c r="D286" s="261">
        <v>1</v>
      </c>
      <c r="E286" s="261"/>
      <c r="F286" s="262"/>
      <c r="G286" s="262"/>
      <c r="H286" s="263"/>
      <c r="I286" s="262"/>
      <c r="J286" s="354">
        <f>D286</f>
        <v>1</v>
      </c>
    </row>
    <row r="287" spans="2:10" x14ac:dyDescent="0.3">
      <c r="B287" s="272"/>
      <c r="C287" s="355"/>
      <c r="D287" s="261"/>
      <c r="E287" s="261"/>
      <c r="F287" s="262"/>
      <c r="G287" s="262"/>
      <c r="H287" s="263"/>
      <c r="I287" s="263"/>
      <c r="J287" s="526">
        <f>H287</f>
        <v>0</v>
      </c>
    </row>
    <row r="288" spans="2:10" x14ac:dyDescent="0.3">
      <c r="B288" s="272"/>
      <c r="C288" s="355"/>
      <c r="D288" s="261"/>
      <c r="E288" s="261"/>
      <c r="F288" s="262"/>
      <c r="G288" s="262"/>
      <c r="H288" s="263"/>
      <c r="I288" s="263"/>
      <c r="J288" s="526">
        <f>H288</f>
        <v>0</v>
      </c>
    </row>
    <row r="289" spans="2:10" x14ac:dyDescent="0.3">
      <c r="B289" s="272"/>
      <c r="C289" s="261"/>
      <c r="D289" s="261"/>
      <c r="E289" s="261"/>
      <c r="F289" s="262"/>
      <c r="G289" s="262"/>
      <c r="H289" s="263"/>
      <c r="I289" s="263"/>
      <c r="J289" s="354"/>
    </row>
    <row r="290" spans="2:10" x14ac:dyDescent="0.3">
      <c r="B290" s="272"/>
      <c r="C290" s="261"/>
      <c r="D290" s="261"/>
      <c r="E290" s="261"/>
      <c r="F290" s="262"/>
      <c r="G290" s="262"/>
      <c r="H290" s="263"/>
      <c r="I290" s="262"/>
      <c r="J290" s="354"/>
    </row>
    <row r="291" spans="2:10" ht="15" thickBot="1" x14ac:dyDescent="0.35">
      <c r="B291" s="266" t="s">
        <v>246</v>
      </c>
      <c r="C291" s="267"/>
      <c r="D291" s="267"/>
      <c r="E291" s="267"/>
      <c r="F291" s="267"/>
      <c r="G291" s="267"/>
      <c r="H291" s="267"/>
      <c r="I291" s="267"/>
      <c r="J291" s="268">
        <f>ROUND((SUM(J285:J290)),2)</f>
        <v>1</v>
      </c>
    </row>
    <row r="293" spans="2:10" ht="15" thickBot="1" x14ac:dyDescent="0.35">
      <c r="B293" s="32" t="s">
        <v>308</v>
      </c>
      <c r="J293" s="498" t="str">
        <f>Presupuesto!D48</f>
        <v>UND</v>
      </c>
    </row>
    <row r="294" spans="2:10" ht="30" customHeight="1" thickBot="1" x14ac:dyDescent="0.35">
      <c r="B294" s="450" t="str">
        <f>Presupuesto!B48</f>
        <v>VENTANA TIPO REJA EN MARCO GALVANIZADO BARRA CUADRADA  MEDIDAS 1,98X1,45 M</v>
      </c>
      <c r="C294" s="523" t="s">
        <v>181</v>
      </c>
      <c r="D294" s="523" t="s">
        <v>182</v>
      </c>
      <c r="E294" s="523" t="s">
        <v>183</v>
      </c>
      <c r="F294" s="523" t="s">
        <v>184</v>
      </c>
      <c r="G294" s="523" t="s">
        <v>185</v>
      </c>
      <c r="H294" s="523" t="s">
        <v>186</v>
      </c>
      <c r="I294" s="523" t="s">
        <v>187</v>
      </c>
      <c r="J294" s="524" t="s">
        <v>188</v>
      </c>
    </row>
    <row r="295" spans="2:10" x14ac:dyDescent="0.3">
      <c r="B295" s="270" t="s">
        <v>180</v>
      </c>
      <c r="C295" s="355"/>
      <c r="D295" s="261"/>
      <c r="E295" s="261"/>
      <c r="F295" s="262"/>
      <c r="G295" s="262"/>
      <c r="H295" s="263"/>
      <c r="I295" s="262"/>
      <c r="J295" s="354">
        <f>E295</f>
        <v>0</v>
      </c>
    </row>
    <row r="296" spans="2:10" x14ac:dyDescent="0.3">
      <c r="B296" s="525"/>
      <c r="C296" s="355" t="s">
        <v>402</v>
      </c>
      <c r="D296" s="261">
        <v>1</v>
      </c>
      <c r="E296" s="261"/>
      <c r="F296" s="262"/>
      <c r="G296" s="262"/>
      <c r="H296" s="263"/>
      <c r="I296" s="262"/>
      <c r="J296" s="354">
        <f>D296</f>
        <v>1</v>
      </c>
    </row>
    <row r="297" spans="2:10" x14ac:dyDescent="0.3">
      <c r="B297" s="272"/>
      <c r="C297" s="355"/>
      <c r="D297" s="261"/>
      <c r="E297" s="261"/>
      <c r="F297" s="262"/>
      <c r="G297" s="262"/>
      <c r="H297" s="263"/>
      <c r="I297" s="263"/>
      <c r="J297" s="526">
        <f>H297</f>
        <v>0</v>
      </c>
    </row>
    <row r="298" spans="2:10" x14ac:dyDescent="0.3">
      <c r="B298" s="272"/>
      <c r="C298" s="355"/>
      <c r="D298" s="261"/>
      <c r="E298" s="261"/>
      <c r="F298" s="262"/>
      <c r="G298" s="262"/>
      <c r="H298" s="263"/>
      <c r="I298" s="263"/>
      <c r="J298" s="526">
        <f>H298</f>
        <v>0</v>
      </c>
    </row>
    <row r="299" spans="2:10" x14ac:dyDescent="0.3">
      <c r="B299" s="272"/>
      <c r="C299" s="261"/>
      <c r="D299" s="261"/>
      <c r="E299" s="261"/>
      <c r="F299" s="262"/>
      <c r="G299" s="262"/>
      <c r="H299" s="263"/>
      <c r="I299" s="263"/>
      <c r="J299" s="354"/>
    </row>
    <row r="300" spans="2:10" x14ac:dyDescent="0.3">
      <c r="B300" s="272"/>
      <c r="C300" s="261"/>
      <c r="D300" s="261"/>
      <c r="E300" s="261"/>
      <c r="F300" s="262"/>
      <c r="G300" s="262"/>
      <c r="H300" s="263"/>
      <c r="I300" s="262"/>
      <c r="J300" s="354"/>
    </row>
    <row r="301" spans="2:10" ht="15" thickBot="1" x14ac:dyDescent="0.35">
      <c r="B301" s="266" t="s">
        <v>246</v>
      </c>
      <c r="C301" s="267"/>
      <c r="D301" s="267"/>
      <c r="E301" s="267"/>
      <c r="F301" s="267"/>
      <c r="G301" s="267"/>
      <c r="H301" s="267"/>
      <c r="I301" s="267"/>
      <c r="J301" s="268">
        <f>ROUND((SUM(J295:J300)),2)</f>
        <v>1</v>
      </c>
    </row>
    <row r="303" spans="2:10" ht="15" thickBot="1" x14ac:dyDescent="0.35">
      <c r="B303" s="32" t="s">
        <v>354</v>
      </c>
      <c r="J303" s="498">
        <f>Presupuesto!D57</f>
        <v>0</v>
      </c>
    </row>
    <row r="304" spans="2:10" ht="27.6" thickBot="1" x14ac:dyDescent="0.35">
      <c r="B304" s="450" t="str">
        <f>+Presupuesto!B49</f>
        <v>SUMINISTRO E INSTALACION DE PUERTA METALICA   MEDIDAS 1,20X2,3M</v>
      </c>
      <c r="C304" s="523" t="s">
        <v>181</v>
      </c>
      <c r="D304" s="523" t="s">
        <v>182</v>
      </c>
      <c r="E304" s="523" t="s">
        <v>183</v>
      </c>
      <c r="F304" s="523" t="s">
        <v>184</v>
      </c>
      <c r="G304" s="523" t="s">
        <v>185</v>
      </c>
      <c r="H304" s="523" t="s">
        <v>186</v>
      </c>
      <c r="I304" s="523" t="s">
        <v>187</v>
      </c>
      <c r="J304" s="524" t="s">
        <v>188</v>
      </c>
    </row>
    <row r="305" spans="2:10" x14ac:dyDescent="0.3">
      <c r="B305" s="270" t="s">
        <v>180</v>
      </c>
      <c r="C305" s="355"/>
      <c r="D305" s="261"/>
      <c r="E305" s="261"/>
      <c r="F305" s="262"/>
      <c r="G305" s="262"/>
      <c r="H305" s="263"/>
      <c r="I305" s="262"/>
      <c r="J305" s="354">
        <f>E305</f>
        <v>0</v>
      </c>
    </row>
    <row r="306" spans="2:10" ht="27" x14ac:dyDescent="0.3">
      <c r="B306" s="525"/>
      <c r="C306" s="355" t="s">
        <v>333</v>
      </c>
      <c r="D306" s="261">
        <v>1</v>
      </c>
      <c r="E306" s="261"/>
      <c r="F306" s="262"/>
      <c r="G306" s="262"/>
      <c r="H306" s="263"/>
      <c r="I306" s="262"/>
      <c r="J306" s="354">
        <f>D306</f>
        <v>1</v>
      </c>
    </row>
    <row r="307" spans="2:10" x14ac:dyDescent="0.3">
      <c r="B307" s="272"/>
      <c r="C307" s="355"/>
      <c r="D307" s="261"/>
      <c r="E307" s="261"/>
      <c r="F307" s="262"/>
      <c r="G307" s="262"/>
      <c r="H307" s="263"/>
      <c r="I307" s="263"/>
      <c r="J307" s="526">
        <f>H307</f>
        <v>0</v>
      </c>
    </row>
    <row r="308" spans="2:10" x14ac:dyDescent="0.3">
      <c r="B308" s="272"/>
      <c r="C308" s="355"/>
      <c r="D308" s="261"/>
      <c r="E308" s="261"/>
      <c r="F308" s="262"/>
      <c r="G308" s="262"/>
      <c r="H308" s="263"/>
      <c r="I308" s="263"/>
      <c r="J308" s="526">
        <f>H308</f>
        <v>0</v>
      </c>
    </row>
    <row r="309" spans="2:10" x14ac:dyDescent="0.3">
      <c r="B309" s="272"/>
      <c r="C309" s="261"/>
      <c r="D309" s="261"/>
      <c r="E309" s="261"/>
      <c r="F309" s="262"/>
      <c r="G309" s="262"/>
      <c r="H309" s="263"/>
      <c r="I309" s="263"/>
      <c r="J309" s="354"/>
    </row>
    <row r="310" spans="2:10" x14ac:dyDescent="0.3">
      <c r="B310" s="272"/>
      <c r="C310" s="261"/>
      <c r="D310" s="261"/>
      <c r="E310" s="261"/>
      <c r="F310" s="262"/>
      <c r="G310" s="262"/>
      <c r="H310" s="263"/>
      <c r="I310" s="262"/>
      <c r="J310" s="354"/>
    </row>
    <row r="311" spans="2:10" ht="15" thickBot="1" x14ac:dyDescent="0.35">
      <c r="B311" s="266" t="s">
        <v>246</v>
      </c>
      <c r="C311" s="267"/>
      <c r="D311" s="267"/>
      <c r="E311" s="267"/>
      <c r="F311" s="267"/>
      <c r="G311" s="267"/>
      <c r="H311" s="267"/>
      <c r="I311" s="267"/>
      <c r="J311" s="268">
        <f>ROUND((SUM(J305:J310)),2)</f>
        <v>1</v>
      </c>
    </row>
    <row r="312" spans="2:10" ht="15" thickBot="1" x14ac:dyDescent="0.35"/>
    <row r="313" spans="2:10" ht="15" thickBot="1" x14ac:dyDescent="0.35">
      <c r="B313" s="668" t="str">
        <f>+Presupuesto!B51</f>
        <v>INSTALACIONES ELECTRICAS</v>
      </c>
      <c r="C313" s="669"/>
      <c r="D313" s="669"/>
      <c r="E313" s="669"/>
      <c r="F313" s="669"/>
      <c r="G313" s="669"/>
      <c r="H313" s="669"/>
      <c r="I313" s="669"/>
      <c r="J313" s="670"/>
    </row>
    <row r="315" spans="2:10" ht="15" thickBot="1" x14ac:dyDescent="0.35">
      <c r="B315" s="32" t="s">
        <v>431</v>
      </c>
      <c r="J315" s="498" t="str">
        <f>+Presupuesto!D52</f>
        <v>UND</v>
      </c>
    </row>
    <row r="316" spans="2:10" ht="30" customHeight="1" thickBot="1" x14ac:dyDescent="0.35">
      <c r="B316" s="450" t="str">
        <f>+Presupuesto!B52</f>
        <v>SUMINISTRO E INSTALACION DE SALIDA PARA INTERRUPTOR, INCLUYE CAJA DE IA RECTANGULAR, INTERRUPTOR Y DEMAS ACCESORIOS</v>
      </c>
      <c r="C316" s="523" t="s">
        <v>181</v>
      </c>
      <c r="D316" s="523" t="s">
        <v>182</v>
      </c>
      <c r="E316" s="523" t="s">
        <v>183</v>
      </c>
      <c r="F316" s="523" t="s">
        <v>184</v>
      </c>
      <c r="G316" s="523" t="s">
        <v>185</v>
      </c>
      <c r="H316" s="523" t="s">
        <v>186</v>
      </c>
      <c r="I316" s="523" t="s">
        <v>187</v>
      </c>
      <c r="J316" s="524" t="s">
        <v>188</v>
      </c>
    </row>
    <row r="317" spans="2:10" x14ac:dyDescent="0.3">
      <c r="B317" s="270" t="s">
        <v>180</v>
      </c>
      <c r="C317" s="355"/>
      <c r="D317" s="261"/>
      <c r="E317" s="261"/>
      <c r="F317" s="262"/>
      <c r="G317" s="262"/>
      <c r="H317" s="263"/>
      <c r="I317" s="262"/>
      <c r="J317" s="354">
        <f>E317</f>
        <v>0</v>
      </c>
    </row>
    <row r="318" spans="2:10" ht="53.4" x14ac:dyDescent="0.3">
      <c r="B318" s="525"/>
      <c r="C318" s="355" t="s">
        <v>328</v>
      </c>
      <c r="D318" s="261">
        <v>2</v>
      </c>
      <c r="E318" s="261"/>
      <c r="F318" s="262"/>
      <c r="G318" s="262"/>
      <c r="H318" s="263"/>
      <c r="I318" s="262"/>
      <c r="J318" s="354">
        <f>D318</f>
        <v>2</v>
      </c>
    </row>
    <row r="319" spans="2:10" x14ac:dyDescent="0.3">
      <c r="B319" s="272"/>
      <c r="C319" s="355"/>
      <c r="D319" s="261"/>
      <c r="E319" s="261"/>
      <c r="F319" s="262"/>
      <c r="G319" s="262"/>
      <c r="H319" s="263"/>
      <c r="I319" s="263"/>
      <c r="J319" s="526">
        <f>H319</f>
        <v>0</v>
      </c>
    </row>
    <row r="320" spans="2:10" x14ac:dyDescent="0.3">
      <c r="B320" s="272"/>
      <c r="C320" s="355"/>
      <c r="D320" s="261"/>
      <c r="E320" s="261"/>
      <c r="F320" s="262"/>
      <c r="G320" s="262"/>
      <c r="H320" s="263"/>
      <c r="I320" s="263"/>
      <c r="J320" s="526">
        <f>H320</f>
        <v>0</v>
      </c>
    </row>
    <row r="321" spans="2:10" x14ac:dyDescent="0.3">
      <c r="B321" s="272"/>
      <c r="C321" s="261"/>
      <c r="D321" s="261"/>
      <c r="E321" s="261"/>
      <c r="F321" s="262"/>
      <c r="G321" s="262"/>
      <c r="H321" s="263"/>
      <c r="I321" s="263"/>
      <c r="J321" s="354"/>
    </row>
    <row r="322" spans="2:10" x14ac:dyDescent="0.3">
      <c r="B322" s="272"/>
      <c r="C322" s="261"/>
      <c r="D322" s="261"/>
      <c r="E322" s="261"/>
      <c r="F322" s="262"/>
      <c r="G322" s="262"/>
      <c r="H322" s="263"/>
      <c r="I322" s="262"/>
      <c r="J322" s="354"/>
    </row>
    <row r="323" spans="2:10" ht="15" thickBot="1" x14ac:dyDescent="0.35">
      <c r="B323" s="266" t="s">
        <v>246</v>
      </c>
      <c r="C323" s="267"/>
      <c r="D323" s="267"/>
      <c r="E323" s="267"/>
      <c r="F323" s="267"/>
      <c r="G323" s="267"/>
      <c r="H323" s="267"/>
      <c r="I323" s="267"/>
      <c r="J323" s="268">
        <f>ROUND((SUM(J317:J322)),2)</f>
        <v>2</v>
      </c>
    </row>
    <row r="325" spans="2:10" ht="15" thickBot="1" x14ac:dyDescent="0.35">
      <c r="B325" s="32" t="s">
        <v>309</v>
      </c>
      <c r="J325" s="498">
        <f>+Presupuesto!D63</f>
        <v>0</v>
      </c>
    </row>
    <row r="326" spans="2:10" ht="40.799999999999997" thickBot="1" x14ac:dyDescent="0.35">
      <c r="B326" s="450" t="str">
        <f>+Presupuesto!B53</f>
        <v>SUMINISTRO E INSTALACION DE SALIDA PARA TOMACORRIENTE DE USO GENERAL, INCLUYE CAJA PLASTICA, TOMA CORRIENTE Y DEMAS ACCESORIOS</v>
      </c>
      <c r="C326" s="523" t="s">
        <v>181</v>
      </c>
      <c r="D326" s="523" t="s">
        <v>182</v>
      </c>
      <c r="E326" s="523" t="s">
        <v>183</v>
      </c>
      <c r="F326" s="523" t="s">
        <v>184</v>
      </c>
      <c r="G326" s="523" t="s">
        <v>185</v>
      </c>
      <c r="H326" s="523" t="s">
        <v>186</v>
      </c>
      <c r="I326" s="523" t="s">
        <v>187</v>
      </c>
      <c r="J326" s="524" t="s">
        <v>188</v>
      </c>
    </row>
    <row r="327" spans="2:10" x14ac:dyDescent="0.3">
      <c r="B327" s="270" t="s">
        <v>180</v>
      </c>
      <c r="C327" s="355"/>
      <c r="D327" s="261"/>
      <c r="E327" s="261"/>
      <c r="F327" s="262"/>
      <c r="G327" s="262"/>
      <c r="H327" s="263"/>
      <c r="I327" s="262"/>
      <c r="J327" s="354">
        <f>E327</f>
        <v>0</v>
      </c>
    </row>
    <row r="328" spans="2:10" ht="79.8" x14ac:dyDescent="0.3">
      <c r="B328" s="525"/>
      <c r="C328" s="355" t="s">
        <v>432</v>
      </c>
      <c r="D328" s="261">
        <v>2</v>
      </c>
      <c r="E328" s="261"/>
      <c r="F328" s="262"/>
      <c r="G328" s="262"/>
      <c r="H328" s="263"/>
      <c r="I328" s="262"/>
      <c r="J328" s="354">
        <f>D328</f>
        <v>2</v>
      </c>
    </row>
    <row r="329" spans="2:10" x14ac:dyDescent="0.3">
      <c r="B329" s="272"/>
      <c r="C329" s="355"/>
      <c r="D329" s="261"/>
      <c r="E329" s="261"/>
      <c r="F329" s="262"/>
      <c r="G329" s="262"/>
      <c r="H329" s="263"/>
      <c r="I329" s="263"/>
      <c r="J329" s="526">
        <f>H329</f>
        <v>0</v>
      </c>
    </row>
    <row r="330" spans="2:10" x14ac:dyDescent="0.3">
      <c r="B330" s="272"/>
      <c r="C330" s="355"/>
      <c r="D330" s="261"/>
      <c r="E330" s="261"/>
      <c r="F330" s="262"/>
      <c r="G330" s="262"/>
      <c r="H330" s="263"/>
      <c r="I330" s="263"/>
      <c r="J330" s="526">
        <f>H330</f>
        <v>0</v>
      </c>
    </row>
    <row r="331" spans="2:10" x14ac:dyDescent="0.3">
      <c r="B331" s="272"/>
      <c r="C331" s="261"/>
      <c r="D331" s="261"/>
      <c r="E331" s="261"/>
      <c r="F331" s="262"/>
      <c r="G331" s="262"/>
      <c r="H331" s="263"/>
      <c r="I331" s="263"/>
      <c r="J331" s="354"/>
    </row>
    <row r="332" spans="2:10" x14ac:dyDescent="0.3">
      <c r="B332" s="272"/>
      <c r="C332" s="261"/>
      <c r="D332" s="261"/>
      <c r="E332" s="261"/>
      <c r="F332" s="262"/>
      <c r="G332" s="262"/>
      <c r="H332" s="263"/>
      <c r="I332" s="262"/>
      <c r="J332" s="354"/>
    </row>
    <row r="333" spans="2:10" ht="15" thickBot="1" x14ac:dyDescent="0.35">
      <c r="B333" s="266" t="s">
        <v>246</v>
      </c>
      <c r="C333" s="267"/>
      <c r="D333" s="267"/>
      <c r="E333" s="267"/>
      <c r="F333" s="267"/>
      <c r="G333" s="267"/>
      <c r="H333" s="267"/>
      <c r="I333" s="267"/>
      <c r="J333" s="268">
        <f>ROUND((SUM(J327:J332)),2)</f>
        <v>2</v>
      </c>
    </row>
    <row r="335" spans="2:10" ht="15" thickBot="1" x14ac:dyDescent="0.35">
      <c r="B335" s="32" t="s">
        <v>433</v>
      </c>
      <c r="J335" s="498">
        <f>+Presupuesto!D74</f>
        <v>0</v>
      </c>
    </row>
    <row r="336" spans="2:10" ht="40.799999999999997" thickBot="1" x14ac:dyDescent="0.35">
      <c r="B336" s="450" t="str">
        <f>+Presupuesto!B54</f>
        <v>SUMINISTRO E INSTALACION DE SALIDA DE LAMPARA LED DE 24W INLUYE CAJA DE ALUMINIO OCTAGONAL Y DEMAS ACCEORIOS</v>
      </c>
      <c r="C336" s="523" t="s">
        <v>181</v>
      </c>
      <c r="D336" s="523" t="s">
        <v>182</v>
      </c>
      <c r="E336" s="523" t="s">
        <v>183</v>
      </c>
      <c r="F336" s="523" t="s">
        <v>184</v>
      </c>
      <c r="G336" s="523" t="s">
        <v>185</v>
      </c>
      <c r="H336" s="523" t="s">
        <v>186</v>
      </c>
      <c r="I336" s="523" t="s">
        <v>187</v>
      </c>
      <c r="J336" s="524" t="s">
        <v>188</v>
      </c>
    </row>
    <row r="337" spans="1:10" x14ac:dyDescent="0.3">
      <c r="B337" s="270" t="s">
        <v>180</v>
      </c>
      <c r="C337" s="355"/>
      <c r="D337" s="261"/>
      <c r="E337" s="261"/>
      <c r="F337" s="262"/>
      <c r="G337" s="262"/>
      <c r="H337" s="263"/>
      <c r="I337" s="262"/>
      <c r="J337" s="354">
        <f>E337</f>
        <v>0</v>
      </c>
    </row>
    <row r="338" spans="1:10" ht="52.8" x14ac:dyDescent="0.3">
      <c r="B338" s="525"/>
      <c r="C338" s="519" t="s">
        <v>415</v>
      </c>
      <c r="D338" s="261">
        <v>3</v>
      </c>
      <c r="E338" s="261"/>
      <c r="F338" s="262"/>
      <c r="G338" s="262"/>
      <c r="H338" s="263"/>
      <c r="I338" s="262"/>
      <c r="J338" s="354">
        <f>D338</f>
        <v>3</v>
      </c>
    </row>
    <row r="339" spans="1:10" x14ac:dyDescent="0.3">
      <c r="B339" s="272"/>
      <c r="C339" s="355"/>
      <c r="D339" s="261"/>
      <c r="E339" s="261"/>
      <c r="F339" s="262"/>
      <c r="G339" s="262"/>
      <c r="H339" s="263"/>
      <c r="I339" s="263"/>
      <c r="J339" s="526">
        <f>H339</f>
        <v>0</v>
      </c>
    </row>
    <row r="340" spans="1:10" x14ac:dyDescent="0.3">
      <c r="B340" s="272"/>
      <c r="C340" s="355"/>
      <c r="D340" s="261"/>
      <c r="E340" s="261"/>
      <c r="F340" s="262"/>
      <c r="G340" s="262"/>
      <c r="H340" s="263"/>
      <c r="I340" s="263"/>
      <c r="J340" s="526">
        <f>H340</f>
        <v>0</v>
      </c>
    </row>
    <row r="341" spans="1:10" x14ac:dyDescent="0.3">
      <c r="B341" s="272"/>
      <c r="C341" s="261"/>
      <c r="D341" s="261"/>
      <c r="E341" s="261"/>
      <c r="F341" s="262"/>
      <c r="G341" s="262"/>
      <c r="H341" s="263"/>
      <c r="I341" s="263"/>
      <c r="J341" s="354"/>
    </row>
    <row r="342" spans="1:10" x14ac:dyDescent="0.3">
      <c r="B342" s="272"/>
      <c r="C342" s="261"/>
      <c r="D342" s="261"/>
      <c r="E342" s="261"/>
      <c r="F342" s="262"/>
      <c r="G342" s="262"/>
      <c r="H342" s="263"/>
      <c r="I342" s="262"/>
      <c r="J342" s="354"/>
    </row>
    <row r="343" spans="1:10" ht="15" thickBot="1" x14ac:dyDescent="0.35">
      <c r="B343" s="266" t="s">
        <v>246</v>
      </c>
      <c r="C343" s="267"/>
      <c r="D343" s="267"/>
      <c r="E343" s="267"/>
      <c r="F343" s="267"/>
      <c r="G343" s="267"/>
      <c r="H343" s="267"/>
      <c r="I343" s="267"/>
      <c r="J343" s="268">
        <f>ROUND((SUM(J337:J342)),2)</f>
        <v>3</v>
      </c>
    </row>
    <row r="344" spans="1:10" x14ac:dyDescent="0.3">
      <c r="B344" s="577"/>
      <c r="C344" s="573"/>
      <c r="D344" s="577"/>
      <c r="E344" s="573"/>
      <c r="F344" s="574"/>
      <c r="G344" s="574"/>
      <c r="H344" s="574"/>
      <c r="I344" s="574"/>
      <c r="J344" s="574"/>
    </row>
    <row r="345" spans="1:10" x14ac:dyDescent="0.3">
      <c r="A345" s="575"/>
      <c r="B345" s="570"/>
      <c r="C345" s="570"/>
      <c r="D345" s="565"/>
      <c r="E345" s="572"/>
      <c r="F345" s="570"/>
      <c r="G345" s="570"/>
      <c r="H345" s="565"/>
      <c r="I345" s="571"/>
      <c r="J345" s="570"/>
    </row>
    <row r="346" spans="1:10" x14ac:dyDescent="0.3">
      <c r="A346" s="571"/>
      <c r="B346" s="570"/>
      <c r="C346" s="570"/>
      <c r="D346" s="570"/>
      <c r="E346" s="571"/>
      <c r="F346" s="570"/>
      <c r="G346" s="565"/>
      <c r="H346" s="570"/>
      <c r="I346" s="565"/>
      <c r="J346" s="565"/>
    </row>
    <row r="347" spans="1:10" x14ac:dyDescent="0.3">
      <c r="B347" s="570"/>
      <c r="C347" s="570"/>
      <c r="D347" s="570"/>
      <c r="E347" s="570"/>
      <c r="F347" s="566"/>
      <c r="G347" s="565"/>
      <c r="H347" s="564"/>
      <c r="I347" s="565"/>
      <c r="J347" s="565"/>
    </row>
    <row r="348" spans="1:10" x14ac:dyDescent="0.3">
      <c r="A348" s="575"/>
      <c r="B348" s="576"/>
      <c r="C348" s="565"/>
      <c r="D348" s="578"/>
      <c r="E348" s="560"/>
      <c r="F348" s="578"/>
      <c r="G348" s="565"/>
      <c r="H348" s="565"/>
      <c r="I348" s="565"/>
      <c r="J348" s="565"/>
    </row>
    <row r="349" spans="1:10" x14ac:dyDescent="0.3">
      <c r="A349" s="564"/>
      <c r="B349" s="563" t="s">
        <v>463</v>
      </c>
      <c r="C349" s="565"/>
      <c r="D349" s="662" t="str">
        <f>+APU!E111</f>
        <v>ARQ. GUILLERMO YAMID VALLEJOS BENAVIDES</v>
      </c>
      <c r="E349" s="663"/>
      <c r="F349" s="663"/>
      <c r="G349" s="663"/>
      <c r="H349" s="663"/>
      <c r="I349" s="664"/>
      <c r="J349" s="570"/>
    </row>
    <row r="350" spans="1:10" x14ac:dyDescent="0.3">
      <c r="A350" s="564"/>
      <c r="B350" s="561" t="s">
        <v>247</v>
      </c>
      <c r="C350" s="570"/>
      <c r="D350" s="665" t="str">
        <f>+APU!E112</f>
        <v>SECRETARIO DE PLANEACION Y OBRAS PUBLICAS</v>
      </c>
      <c r="E350" s="666"/>
      <c r="F350" s="666"/>
      <c r="G350" s="666"/>
      <c r="H350" s="666"/>
      <c r="I350" s="667"/>
      <c r="J350" s="569"/>
    </row>
    <row r="351" spans="1:10" x14ac:dyDescent="0.3">
      <c r="A351" s="564"/>
      <c r="B351" s="562" t="s">
        <v>464</v>
      </c>
      <c r="C351" s="569"/>
      <c r="D351" s="665" t="str">
        <f>+APU!E113</f>
        <v>SAN MIGUEL - PUTUMAYO</v>
      </c>
      <c r="E351" s="666"/>
      <c r="F351" s="666"/>
      <c r="G351" s="666"/>
      <c r="H351" s="666"/>
      <c r="I351" s="667"/>
      <c r="J351" s="569"/>
    </row>
    <row r="352" spans="1:10" x14ac:dyDescent="0.3">
      <c r="A352" s="575"/>
      <c r="C352" s="567"/>
      <c r="D352" s="568"/>
      <c r="E352" s="567"/>
      <c r="F352" s="565"/>
      <c r="G352" s="567"/>
      <c r="H352" s="567"/>
      <c r="I352" s="565"/>
      <c r="J352" s="569"/>
    </row>
  </sheetData>
  <mergeCells count="24">
    <mergeCell ref="B11:J11"/>
    <mergeCell ref="B1:B6"/>
    <mergeCell ref="C1:C2"/>
    <mergeCell ref="D1:E1"/>
    <mergeCell ref="F1:H1"/>
    <mergeCell ref="I1:J6"/>
    <mergeCell ref="D2:E3"/>
    <mergeCell ref="F2:H3"/>
    <mergeCell ref="D4:E4"/>
    <mergeCell ref="F4:H4"/>
    <mergeCell ref="C5:C6"/>
    <mergeCell ref="D5:E6"/>
    <mergeCell ref="F5:H5"/>
    <mergeCell ref="F6:H6"/>
    <mergeCell ref="B8:J9"/>
    <mergeCell ref="D349:I349"/>
    <mergeCell ref="D350:I350"/>
    <mergeCell ref="D351:I351"/>
    <mergeCell ref="B313:J313"/>
    <mergeCell ref="B13:J13"/>
    <mergeCell ref="B84:J84"/>
    <mergeCell ref="B167:J167"/>
    <mergeCell ref="B218:J218"/>
    <mergeCell ref="B250:J250"/>
  </mergeCells>
  <phoneticPr fontId="29" type="noConversion"/>
  <pageMargins left="0.39370078740157483" right="0.39370078740157483" top="0.39370078740157483" bottom="0.39370078740157483" header="0.31496062992125984" footer="0.31496062992125984"/>
  <pageSetup scale="57" fitToHeight="0" orientation="portrait" horizontalDpi="360" verticalDpi="360" r:id="rId1"/>
  <rowBreaks count="5" manualBreakCount="5">
    <brk id="82" max="9" man="1"/>
    <brk id="166" max="9" man="1"/>
    <brk id="248" max="9" man="1"/>
    <brk id="311" max="9" man="1"/>
    <brk id="353" min="1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tabColor theme="6" tint="-0.249977111117893"/>
  </sheetPr>
  <dimension ref="A1:AA1721"/>
  <sheetViews>
    <sheetView showGridLines="0" view="pageBreakPreview" zoomScale="89" zoomScaleNormal="89" zoomScaleSheetLayoutView="89" workbookViewId="0">
      <selection activeCell="L1715" sqref="L1715"/>
    </sheetView>
  </sheetViews>
  <sheetFormatPr baseColWidth="10" defaultColWidth="11.44140625" defaultRowHeight="17.100000000000001" customHeight="1" x14ac:dyDescent="0.25"/>
  <cols>
    <col min="1" max="1" width="8.33203125" style="202" customWidth="1"/>
    <col min="2" max="2" width="16.33203125" style="202" bestFit="1" customWidth="1"/>
    <col min="3" max="3" width="33.44140625" style="202" customWidth="1"/>
    <col min="4" max="5" width="11.44140625" style="202"/>
    <col min="6" max="6" width="13.44140625" style="202" bestFit="1" customWidth="1"/>
    <col min="7" max="7" width="13" style="202" customWidth="1"/>
    <col min="8" max="8" width="15.6640625" style="446" customWidth="1"/>
    <col min="9" max="9" width="11.44140625" style="200"/>
    <col min="10" max="10" width="12" style="200" bestFit="1" customWidth="1"/>
    <col min="11" max="16384" width="11.44140625" style="200"/>
  </cols>
  <sheetData>
    <row r="1" spans="1:27" ht="17.100000000000001" customHeight="1" x14ac:dyDescent="0.3">
      <c r="A1" s="705"/>
      <c r="B1" s="706"/>
      <c r="C1" s="638" t="s">
        <v>224</v>
      </c>
      <c r="D1" s="625" t="s">
        <v>225</v>
      </c>
      <c r="E1" s="626"/>
      <c r="F1" s="275">
        <v>103</v>
      </c>
      <c r="G1" s="711"/>
      <c r="H1" s="711"/>
      <c r="Q1"/>
      <c r="R1"/>
      <c r="S1"/>
      <c r="T1"/>
      <c r="U1"/>
      <c r="V1"/>
      <c r="W1"/>
      <c r="X1"/>
      <c r="Y1"/>
      <c r="Z1"/>
      <c r="AA1"/>
    </row>
    <row r="2" spans="1:27" ht="17.100000000000001" customHeight="1" x14ac:dyDescent="0.3">
      <c r="A2" s="707"/>
      <c r="B2" s="708"/>
      <c r="C2" s="639"/>
      <c r="D2" s="634" t="s">
        <v>195</v>
      </c>
      <c r="E2" s="635"/>
      <c r="F2" s="712">
        <v>51</v>
      </c>
      <c r="G2" s="711"/>
      <c r="H2" s="711"/>
      <c r="Q2"/>
      <c r="R2"/>
      <c r="S2"/>
      <c r="T2"/>
      <c r="U2"/>
      <c r="V2"/>
      <c r="W2"/>
      <c r="X2"/>
      <c r="Y2"/>
      <c r="Z2"/>
      <c r="AA2"/>
    </row>
    <row r="3" spans="1:27" ht="17.100000000000001" customHeight="1" x14ac:dyDescent="0.3">
      <c r="A3" s="707"/>
      <c r="B3" s="708"/>
      <c r="C3" s="307" t="s">
        <v>196</v>
      </c>
      <c r="D3" s="636"/>
      <c r="E3" s="637"/>
      <c r="F3" s="713"/>
      <c r="G3" s="711"/>
      <c r="H3" s="711"/>
      <c r="Q3"/>
      <c r="R3"/>
      <c r="S3"/>
      <c r="T3"/>
      <c r="U3"/>
      <c r="V3"/>
      <c r="W3"/>
      <c r="X3"/>
      <c r="Y3"/>
      <c r="Z3"/>
      <c r="AA3"/>
    </row>
    <row r="4" spans="1:27" ht="17.100000000000001" customHeight="1" x14ac:dyDescent="0.3">
      <c r="A4" s="707"/>
      <c r="B4" s="708"/>
      <c r="C4" s="308" t="s">
        <v>197</v>
      </c>
      <c r="D4" s="640" t="s">
        <v>198</v>
      </c>
      <c r="E4" s="641"/>
      <c r="F4" s="309">
        <v>1</v>
      </c>
      <c r="G4" s="711"/>
      <c r="H4" s="711"/>
      <c r="Q4"/>
      <c r="R4"/>
      <c r="S4"/>
      <c r="T4"/>
      <c r="U4"/>
      <c r="V4"/>
      <c r="W4"/>
      <c r="X4"/>
      <c r="Y4"/>
      <c r="Z4"/>
      <c r="AA4"/>
    </row>
    <row r="5" spans="1:27" ht="14.4" x14ac:dyDescent="0.3">
      <c r="A5" s="707"/>
      <c r="B5" s="708"/>
      <c r="C5" s="714" t="s">
        <v>199</v>
      </c>
      <c r="D5" s="716" t="s">
        <v>200</v>
      </c>
      <c r="E5" s="717"/>
      <c r="F5" s="307" t="s">
        <v>201</v>
      </c>
      <c r="G5" s="711"/>
      <c r="H5" s="711"/>
      <c r="Q5"/>
      <c r="R5"/>
      <c r="S5"/>
      <c r="T5"/>
      <c r="U5"/>
      <c r="V5"/>
      <c r="W5"/>
      <c r="X5"/>
      <c r="Y5"/>
      <c r="Z5"/>
      <c r="AA5"/>
    </row>
    <row r="6" spans="1:27" ht="17.100000000000001" customHeight="1" x14ac:dyDescent="0.3">
      <c r="A6" s="709"/>
      <c r="B6" s="710"/>
      <c r="C6" s="715"/>
      <c r="D6" s="718"/>
      <c r="E6" s="719"/>
      <c r="F6" s="310">
        <v>44216</v>
      </c>
      <c r="G6" s="711"/>
      <c r="H6" s="711"/>
      <c r="Q6"/>
      <c r="R6"/>
      <c r="S6"/>
      <c r="T6"/>
      <c r="U6"/>
      <c r="V6"/>
      <c r="W6"/>
      <c r="X6"/>
      <c r="Y6"/>
      <c r="Z6"/>
      <c r="AA6"/>
    </row>
    <row r="7" spans="1:27" ht="17.100000000000001" customHeight="1" thickBot="1" x14ac:dyDescent="0.35">
      <c r="A7" s="720"/>
      <c r="B7" s="721"/>
      <c r="C7" s="721"/>
      <c r="D7" s="721"/>
      <c r="E7" s="721"/>
      <c r="F7" s="721"/>
      <c r="G7" s="721"/>
      <c r="H7" s="722"/>
      <c r="Q7"/>
      <c r="R7"/>
      <c r="S7"/>
      <c r="T7"/>
      <c r="U7"/>
      <c r="V7"/>
      <c r="W7"/>
      <c r="X7"/>
      <c r="Y7"/>
      <c r="Z7"/>
      <c r="AA7"/>
    </row>
    <row r="8" spans="1:27" ht="24.75" customHeight="1" x14ac:dyDescent="0.3">
      <c r="A8" s="723" t="str">
        <f>Presupuesto!A8</f>
        <v>ADECUACION Y MEJORAMIENTO DE AULAS ESCOLARES UBICADA EN LA INSTITUCION EDUCATIVA TECNICO COMERCIAL LA DORADA SEDE ESCUELA CENTRAL DEL MUNICIPIO DE SAN MIGUEL PUTUMAYO</v>
      </c>
      <c r="B8" s="724"/>
      <c r="C8" s="724"/>
      <c r="D8" s="724"/>
      <c r="E8" s="724"/>
      <c r="F8" s="724"/>
      <c r="G8" s="724"/>
      <c r="H8" s="725"/>
      <c r="Q8"/>
      <c r="R8"/>
      <c r="S8"/>
      <c r="T8"/>
      <c r="U8"/>
      <c r="V8"/>
      <c r="W8"/>
      <c r="X8"/>
      <c r="Y8"/>
      <c r="Z8"/>
      <c r="AA8"/>
    </row>
    <row r="9" spans="1:27" ht="18" customHeight="1" thickBot="1" x14ac:dyDescent="0.35">
      <c r="A9" s="726"/>
      <c r="B9" s="727"/>
      <c r="C9" s="727"/>
      <c r="D9" s="727"/>
      <c r="E9" s="727"/>
      <c r="F9" s="727"/>
      <c r="G9" s="727"/>
      <c r="H9" s="728"/>
      <c r="Q9"/>
      <c r="R9"/>
      <c r="S9"/>
      <c r="T9"/>
      <c r="U9"/>
      <c r="V9"/>
      <c r="W9"/>
      <c r="X9"/>
      <c r="Y9"/>
      <c r="Z9"/>
      <c r="AA9"/>
    </row>
    <row r="10" spans="1:27" ht="17.100000000000001" customHeight="1" thickBot="1" x14ac:dyDescent="0.35">
      <c r="A10" s="273"/>
      <c r="B10" s="274"/>
      <c r="C10" s="274"/>
      <c r="D10" s="274"/>
      <c r="E10" s="274"/>
      <c r="F10" s="274"/>
      <c r="G10" s="274"/>
      <c r="H10" s="443"/>
      <c r="Q10"/>
      <c r="R10"/>
      <c r="S10"/>
      <c r="T10"/>
      <c r="U10"/>
      <c r="V10"/>
      <c r="W10"/>
      <c r="X10"/>
      <c r="Y10"/>
      <c r="Z10"/>
      <c r="AA10"/>
    </row>
    <row r="11" spans="1:27" ht="17.100000000000001" customHeight="1" thickBot="1" x14ac:dyDescent="0.35">
      <c r="A11" s="729" t="s">
        <v>26</v>
      </c>
      <c r="B11" s="730"/>
      <c r="C11" s="730"/>
      <c r="D11" s="730"/>
      <c r="E11" s="730"/>
      <c r="F11" s="730"/>
      <c r="G11" s="730"/>
      <c r="H11" s="731"/>
      <c r="Q11"/>
      <c r="R11"/>
      <c r="S11"/>
      <c r="T11"/>
      <c r="U11"/>
      <c r="V11"/>
      <c r="W11"/>
      <c r="X11"/>
      <c r="Y11"/>
      <c r="Z11"/>
      <c r="AA11"/>
    </row>
    <row r="12" spans="1:27" ht="17.100000000000001" customHeight="1" thickBot="1" x14ac:dyDescent="0.35">
      <c r="A12" s="247"/>
      <c r="H12" s="370"/>
      <c r="Q12"/>
      <c r="R12"/>
      <c r="S12"/>
      <c r="T12"/>
      <c r="U12"/>
      <c r="V12"/>
      <c r="W12"/>
      <c r="X12"/>
      <c r="Y12"/>
      <c r="Z12"/>
      <c r="AA12"/>
    </row>
    <row r="13" spans="1:27" ht="17.100000000000001" customHeight="1" thickBot="1" x14ac:dyDescent="0.35">
      <c r="A13" s="351">
        <f>Presupuesto!A15</f>
        <v>1.1000000000000001</v>
      </c>
      <c r="B13" s="732" t="str">
        <f>Presupuesto!B15</f>
        <v xml:space="preserve">REPLANTEO Y LOCALIZACIÓN </v>
      </c>
      <c r="C13" s="733"/>
      <c r="D13" s="733"/>
      <c r="E13" s="733"/>
      <c r="F13" s="734"/>
      <c r="G13" s="352" t="s">
        <v>28</v>
      </c>
      <c r="H13" s="444" t="str">
        <f>'MEMORIA DE CANTIDADES DE OBRA '!J15</f>
        <v>M2</v>
      </c>
      <c r="Q13"/>
      <c r="R13"/>
      <c r="S13"/>
      <c r="T13"/>
      <c r="U13"/>
      <c r="V13"/>
      <c r="W13"/>
      <c r="X13"/>
      <c r="Y13"/>
      <c r="Z13"/>
      <c r="AA13"/>
    </row>
    <row r="14" spans="1:27" ht="17.100000000000001" customHeight="1" x14ac:dyDescent="0.3">
      <c r="A14" s="247"/>
      <c r="H14" s="370"/>
      <c r="Q14"/>
      <c r="R14"/>
      <c r="S14"/>
      <c r="T14"/>
      <c r="U14"/>
      <c r="V14"/>
      <c r="W14"/>
      <c r="X14"/>
      <c r="Y14"/>
      <c r="Z14"/>
      <c r="AA14"/>
    </row>
    <row r="15" spans="1:27" ht="17.100000000000001" customHeight="1" x14ac:dyDescent="0.3">
      <c r="A15" s="206" t="s">
        <v>29</v>
      </c>
      <c r="B15" s="704" t="s">
        <v>30</v>
      </c>
      <c r="C15" s="704"/>
      <c r="D15" s="704"/>
      <c r="E15" s="704"/>
      <c r="F15" s="704"/>
      <c r="G15" s="704"/>
      <c r="H15" s="370"/>
      <c r="Q15"/>
      <c r="R15"/>
      <c r="S15"/>
      <c r="T15"/>
      <c r="U15"/>
      <c r="V15"/>
      <c r="W15"/>
      <c r="X15"/>
      <c r="Y15"/>
      <c r="Z15"/>
      <c r="AA15"/>
    </row>
    <row r="16" spans="1:27" ht="17.100000000000001" customHeight="1" x14ac:dyDescent="0.3">
      <c r="A16" s="225"/>
      <c r="B16" s="735" t="s">
        <v>31</v>
      </c>
      <c r="C16" s="736"/>
      <c r="D16" s="225" t="s">
        <v>32</v>
      </c>
      <c r="E16" s="225" t="s">
        <v>33</v>
      </c>
      <c r="F16" s="225" t="s">
        <v>34</v>
      </c>
      <c r="G16" s="225" t="s">
        <v>35</v>
      </c>
      <c r="H16" s="370"/>
      <c r="Q16"/>
      <c r="R16"/>
      <c r="S16"/>
      <c r="T16"/>
      <c r="U16"/>
      <c r="V16"/>
      <c r="W16"/>
      <c r="X16"/>
      <c r="Y16"/>
      <c r="Z16"/>
      <c r="AA16"/>
    </row>
    <row r="17" spans="1:27" ht="17.100000000000001" customHeight="1" x14ac:dyDescent="0.3">
      <c r="A17" s="199"/>
      <c r="B17" s="737" t="s">
        <v>67</v>
      </c>
      <c r="C17" s="738"/>
      <c r="D17" s="199"/>
      <c r="E17" s="207"/>
      <c r="F17" s="207">
        <v>0.1</v>
      </c>
      <c r="G17" s="218">
        <f>ROUND((H34*F17),2)</f>
        <v>316.67</v>
      </c>
      <c r="H17" s="370"/>
      <c r="Q17"/>
      <c r="R17"/>
      <c r="S17"/>
      <c r="T17"/>
      <c r="U17"/>
      <c r="V17"/>
      <c r="W17"/>
      <c r="X17"/>
      <c r="Y17"/>
      <c r="Z17"/>
      <c r="AA17"/>
    </row>
    <row r="18" spans="1:27" ht="17.100000000000001" customHeight="1" x14ac:dyDescent="0.25">
      <c r="A18" s="199"/>
      <c r="B18" s="735"/>
      <c r="C18" s="736"/>
      <c r="D18" s="199"/>
      <c r="E18" s="207"/>
      <c r="F18" s="207"/>
      <c r="G18" s="207"/>
      <c r="H18" s="370"/>
    </row>
    <row r="19" spans="1:27" ht="17.100000000000001" customHeight="1" x14ac:dyDescent="0.25">
      <c r="A19" s="199"/>
      <c r="B19" s="735"/>
      <c r="C19" s="736"/>
      <c r="D19" s="199"/>
      <c r="E19" s="207"/>
      <c r="F19" s="207"/>
      <c r="G19" s="207"/>
      <c r="H19" s="370"/>
    </row>
    <row r="20" spans="1:27" ht="17.100000000000001" customHeight="1" x14ac:dyDescent="0.25">
      <c r="A20" s="248"/>
      <c r="E20" s="208" t="s">
        <v>36</v>
      </c>
      <c r="F20" s="208"/>
      <c r="G20" s="208"/>
      <c r="H20" s="370">
        <f>SUM(G17:G19)</f>
        <v>316.67</v>
      </c>
    </row>
    <row r="21" spans="1:27" ht="17.100000000000001" customHeight="1" x14ac:dyDescent="0.25">
      <c r="A21" s="206" t="s">
        <v>37</v>
      </c>
      <c r="B21" s="704" t="s">
        <v>38</v>
      </c>
      <c r="C21" s="704"/>
      <c r="D21" s="704"/>
      <c r="E21" s="704"/>
      <c r="F21" s="704"/>
      <c r="G21" s="704"/>
      <c r="H21" s="370"/>
    </row>
    <row r="22" spans="1:27" ht="17.100000000000001" customHeight="1" x14ac:dyDescent="0.25">
      <c r="A22" s="225"/>
      <c r="B22" s="735" t="s">
        <v>31</v>
      </c>
      <c r="C22" s="736"/>
      <c r="D22" s="199" t="s">
        <v>12</v>
      </c>
      <c r="E22" s="209" t="s">
        <v>39</v>
      </c>
      <c r="F22" s="209" t="s">
        <v>40</v>
      </c>
      <c r="G22" s="209" t="s">
        <v>35</v>
      </c>
      <c r="H22" s="370"/>
    </row>
    <row r="23" spans="1:27" ht="17.100000000000001" customHeight="1" x14ac:dyDescent="0.25">
      <c r="A23" s="199"/>
      <c r="B23" s="739"/>
      <c r="C23" s="740"/>
      <c r="D23" s="221"/>
      <c r="E23" s="207"/>
      <c r="F23" s="207"/>
      <c r="G23" s="207">
        <f>ROUND((E23*F23),0)</f>
        <v>0</v>
      </c>
      <c r="H23" s="370"/>
    </row>
    <row r="24" spans="1:27" ht="17.100000000000001" customHeight="1" x14ac:dyDescent="0.25">
      <c r="A24" s="199"/>
      <c r="B24" s="739"/>
      <c r="C24" s="740"/>
      <c r="D24" s="221"/>
      <c r="E24" s="207"/>
      <c r="F24" s="207"/>
      <c r="G24" s="207">
        <f>ROUND((E24*F24),0)</f>
        <v>0</v>
      </c>
      <c r="H24" s="370"/>
    </row>
    <row r="25" spans="1:27" ht="17.100000000000001" customHeight="1" x14ac:dyDescent="0.25">
      <c r="A25" s="199"/>
      <c r="B25" s="739"/>
      <c r="C25" s="740"/>
      <c r="D25" s="221"/>
      <c r="E25" s="221"/>
      <c r="F25" s="221"/>
      <c r="G25" s="207">
        <f>ROUND((E25*F25),0)</f>
        <v>0</v>
      </c>
      <c r="H25" s="370"/>
    </row>
    <row r="26" spans="1:27" ht="17.100000000000001" customHeight="1" x14ac:dyDescent="0.25">
      <c r="A26" s="199"/>
      <c r="B26" s="746"/>
      <c r="C26" s="747"/>
      <c r="D26" s="199"/>
      <c r="E26" s="207"/>
      <c r="F26" s="207"/>
      <c r="G26" s="207"/>
      <c r="H26" s="370"/>
    </row>
    <row r="27" spans="1:27" ht="17.100000000000001" customHeight="1" x14ac:dyDescent="0.25">
      <c r="A27" s="199"/>
      <c r="B27" s="746"/>
      <c r="C27" s="747"/>
      <c r="D27" s="199"/>
      <c r="E27" s="207"/>
      <c r="F27" s="207"/>
      <c r="G27" s="207"/>
      <c r="H27" s="370"/>
    </row>
    <row r="28" spans="1:27" ht="17.100000000000001" customHeight="1" x14ac:dyDescent="0.25">
      <c r="A28" s="248" t="s">
        <v>41</v>
      </c>
      <c r="E28" s="208" t="s">
        <v>42</v>
      </c>
      <c r="F28" s="208"/>
      <c r="G28" s="208"/>
      <c r="H28" s="370">
        <f>(SUM(G23:G25))</f>
        <v>0</v>
      </c>
    </row>
    <row r="29" spans="1:27" ht="17.100000000000001" customHeight="1" x14ac:dyDescent="0.25">
      <c r="A29" s="206" t="s">
        <v>43</v>
      </c>
      <c r="B29" s="704" t="s">
        <v>44</v>
      </c>
      <c r="C29" s="704"/>
      <c r="D29" s="704"/>
      <c r="E29" s="704"/>
      <c r="F29" s="704"/>
      <c r="G29" s="704"/>
      <c r="H29" s="370"/>
    </row>
    <row r="30" spans="1:27" ht="17.100000000000001" customHeight="1" x14ac:dyDescent="0.25">
      <c r="A30" s="199" t="s">
        <v>45</v>
      </c>
      <c r="B30" s="225" t="s">
        <v>31</v>
      </c>
      <c r="C30" s="225" t="s">
        <v>46</v>
      </c>
      <c r="D30" s="225" t="s">
        <v>47</v>
      </c>
      <c r="E30" s="209" t="s">
        <v>48</v>
      </c>
      <c r="F30" s="207" t="s">
        <v>34</v>
      </c>
      <c r="G30" s="207" t="s">
        <v>35</v>
      </c>
      <c r="H30" s="370"/>
    </row>
    <row r="31" spans="1:27" ht="17.100000000000001" customHeight="1" x14ac:dyDescent="0.25">
      <c r="A31" s="199">
        <v>1</v>
      </c>
      <c r="B31" s="199" t="s">
        <v>189</v>
      </c>
      <c r="C31" s="211">
        <v>70000</v>
      </c>
      <c r="D31" s="212">
        <v>0.75</v>
      </c>
      <c r="E31" s="210">
        <f>+(A31*C31)+(A31*C31*D31)</f>
        <v>122500</v>
      </c>
      <c r="F31" s="213">
        <v>105</v>
      </c>
      <c r="G31" s="218">
        <f>ROUND((E31)/(F31),2)</f>
        <v>1166.67</v>
      </c>
      <c r="H31" s="370"/>
    </row>
    <row r="32" spans="1:27" ht="17.100000000000001" customHeight="1" x14ac:dyDescent="0.25">
      <c r="A32" s="199">
        <v>1</v>
      </c>
      <c r="B32" s="199" t="s">
        <v>233</v>
      </c>
      <c r="C32" s="211">
        <v>120000</v>
      </c>
      <c r="D32" s="212">
        <v>0.75</v>
      </c>
      <c r="E32" s="210">
        <f>+(A32*C32)+(A32*C32*D32)</f>
        <v>210000</v>
      </c>
      <c r="F32" s="213">
        <v>105</v>
      </c>
      <c r="G32" s="218">
        <f>ROUND((E32)/(F32),2)</f>
        <v>2000</v>
      </c>
      <c r="H32" s="370"/>
    </row>
    <row r="33" spans="1:8" ht="17.100000000000001" customHeight="1" x14ac:dyDescent="0.25">
      <c r="A33" s="199"/>
      <c r="B33" s="199"/>
      <c r="C33" s="199"/>
      <c r="D33" s="199"/>
      <c r="E33" s="207"/>
      <c r="F33" s="207"/>
      <c r="G33" s="207"/>
      <c r="H33" s="370"/>
    </row>
    <row r="34" spans="1:8" ht="17.100000000000001" customHeight="1" x14ac:dyDescent="0.25">
      <c r="A34" s="248"/>
      <c r="E34" s="208" t="s">
        <v>50</v>
      </c>
      <c r="F34" s="208"/>
      <c r="G34" s="208"/>
      <c r="H34" s="370">
        <f>SUM(G31)+(G32)</f>
        <v>3166.67</v>
      </c>
    </row>
    <row r="35" spans="1:8" ht="17.100000000000001" customHeight="1" x14ac:dyDescent="0.25">
      <c r="A35" s="206" t="s">
        <v>51</v>
      </c>
      <c r="B35" s="704" t="s">
        <v>18</v>
      </c>
      <c r="C35" s="704"/>
      <c r="D35" s="704"/>
      <c r="E35" s="704"/>
      <c r="F35" s="704"/>
      <c r="G35" s="704"/>
      <c r="H35" s="370"/>
    </row>
    <row r="36" spans="1:8" ht="17.100000000000001" customHeight="1" x14ac:dyDescent="0.25">
      <c r="A36" s="199"/>
      <c r="B36" s="199" t="s">
        <v>31</v>
      </c>
      <c r="C36" s="225" t="s">
        <v>12</v>
      </c>
      <c r="D36" s="225" t="s">
        <v>13</v>
      </c>
      <c r="E36" s="225" t="s">
        <v>52</v>
      </c>
      <c r="F36" s="225"/>
      <c r="G36" s="207" t="s">
        <v>53</v>
      </c>
      <c r="H36" s="370"/>
    </row>
    <row r="37" spans="1:8" ht="17.100000000000001" customHeight="1" x14ac:dyDescent="0.25">
      <c r="A37" s="199"/>
      <c r="B37" s="199"/>
      <c r="C37" s="214"/>
      <c r="D37" s="199"/>
      <c r="E37" s="207"/>
      <c r="F37" s="207"/>
      <c r="G37" s="207"/>
      <c r="H37" s="370"/>
    </row>
    <row r="38" spans="1:8" ht="17.100000000000001" customHeight="1" x14ac:dyDescent="0.25">
      <c r="A38" s="199"/>
      <c r="B38" s="199"/>
      <c r="C38" s="210"/>
      <c r="D38" s="199"/>
      <c r="E38" s="207"/>
      <c r="F38" s="207"/>
      <c r="G38" s="207"/>
      <c r="H38" s="370"/>
    </row>
    <row r="39" spans="1:8" ht="17.100000000000001" customHeight="1" x14ac:dyDescent="0.25">
      <c r="A39" s="199"/>
      <c r="B39" s="199"/>
      <c r="C39" s="199"/>
      <c r="D39" s="199"/>
      <c r="E39" s="207"/>
      <c r="F39" s="207"/>
      <c r="G39" s="207"/>
      <c r="H39" s="370"/>
    </row>
    <row r="40" spans="1:8" ht="17.100000000000001" customHeight="1" x14ac:dyDescent="0.25">
      <c r="A40" s="248"/>
      <c r="E40" s="208" t="s">
        <v>50</v>
      </c>
      <c r="F40" s="208"/>
      <c r="G40" s="208"/>
      <c r="H40" s="370">
        <f>ROUND(SUM(G37)+(G38),0)</f>
        <v>0</v>
      </c>
    </row>
    <row r="41" spans="1:8" ht="17.100000000000001" customHeight="1" x14ac:dyDescent="0.25">
      <c r="A41" s="247"/>
      <c r="E41" s="208"/>
      <c r="F41" s="208"/>
      <c r="G41" s="208"/>
      <c r="H41" s="370"/>
    </row>
    <row r="42" spans="1:8" ht="17.100000000000001" customHeight="1" x14ac:dyDescent="0.25">
      <c r="A42" s="247"/>
      <c r="D42" s="215" t="s">
        <v>54</v>
      </c>
      <c r="E42" s="216"/>
      <c r="F42" s="216"/>
      <c r="G42" s="216"/>
      <c r="H42" s="370">
        <f>ROUND((SUM(H20:H41)),2)</f>
        <v>3483.34</v>
      </c>
    </row>
    <row r="43" spans="1:8" ht="17.100000000000001" customHeight="1" x14ac:dyDescent="0.25">
      <c r="A43" s="247"/>
      <c r="E43" s="208"/>
      <c r="F43" s="208"/>
      <c r="G43" s="208"/>
      <c r="H43" s="370"/>
    </row>
    <row r="44" spans="1:8" ht="17.100000000000001" customHeight="1" x14ac:dyDescent="0.25">
      <c r="A44" s="206" t="s">
        <v>55</v>
      </c>
      <c r="B44" s="704" t="s">
        <v>56</v>
      </c>
      <c r="C44" s="704"/>
      <c r="D44" s="704"/>
      <c r="E44" s="704"/>
      <c r="F44" s="704"/>
      <c r="G44" s="704"/>
      <c r="H44" s="370"/>
    </row>
    <row r="45" spans="1:8" ht="17.100000000000001" customHeight="1" x14ac:dyDescent="0.25">
      <c r="A45" s="225"/>
      <c r="B45" s="225" t="s">
        <v>31</v>
      </c>
      <c r="C45" s="225" t="s">
        <v>57</v>
      </c>
      <c r="D45" s="199" t="s">
        <v>58</v>
      </c>
      <c r="E45" s="207"/>
      <c r="F45" s="207" t="s">
        <v>59</v>
      </c>
      <c r="G45" s="207"/>
      <c r="H45" s="370"/>
    </row>
    <row r="46" spans="1:8" ht="17.100000000000001" customHeight="1" x14ac:dyDescent="0.25">
      <c r="A46" s="199"/>
      <c r="B46" s="225" t="s">
        <v>60</v>
      </c>
      <c r="C46" s="212">
        <v>0.28000000000000003</v>
      </c>
      <c r="D46" s="199"/>
      <c r="E46" s="210"/>
      <c r="F46" s="199"/>
      <c r="G46" s="218">
        <f>ROUND((H42*C46),2)</f>
        <v>975.34</v>
      </c>
      <c r="H46" s="370"/>
    </row>
    <row r="47" spans="1:8" ht="17.100000000000001" customHeight="1" x14ac:dyDescent="0.25">
      <c r="A47" s="199"/>
      <c r="B47" s="225" t="s">
        <v>61</v>
      </c>
      <c r="C47" s="212">
        <v>0.01</v>
      </c>
      <c r="D47" s="199"/>
      <c r="E47" s="210"/>
      <c r="F47" s="199"/>
      <c r="G47" s="218">
        <f>ROUND((H42*C47),2)</f>
        <v>34.83</v>
      </c>
      <c r="H47" s="370"/>
    </row>
    <row r="48" spans="1:8" ht="17.100000000000001" customHeight="1" x14ac:dyDescent="0.25">
      <c r="A48" s="199"/>
      <c r="B48" s="225" t="s">
        <v>62</v>
      </c>
      <c r="C48" s="212">
        <v>0.03</v>
      </c>
      <c r="D48" s="199"/>
      <c r="E48" s="210"/>
      <c r="F48" s="199"/>
      <c r="G48" s="218">
        <f>ROUND((H42*C48),2)</f>
        <v>104.5</v>
      </c>
      <c r="H48" s="370"/>
    </row>
    <row r="49" spans="1:8" ht="17.100000000000001" customHeight="1" x14ac:dyDescent="0.25">
      <c r="A49" s="247"/>
      <c r="D49" s="215" t="s">
        <v>63</v>
      </c>
      <c r="E49" s="216"/>
      <c r="F49" s="216"/>
      <c r="G49" s="216"/>
      <c r="H49" s="370">
        <f>SUM(G45:G48)</f>
        <v>1114.67</v>
      </c>
    </row>
    <row r="50" spans="1:8" ht="17.100000000000001" customHeight="1" x14ac:dyDescent="0.25">
      <c r="A50" s="247"/>
      <c r="E50" s="208"/>
      <c r="F50" s="208"/>
      <c r="G50" s="208"/>
      <c r="H50" s="370"/>
    </row>
    <row r="51" spans="1:8" ht="17.100000000000001" customHeight="1" x14ac:dyDescent="0.25">
      <c r="A51" s="247"/>
      <c r="D51" s="215" t="s">
        <v>64</v>
      </c>
      <c r="E51" s="216"/>
      <c r="F51" s="216"/>
      <c r="G51" s="208"/>
      <c r="H51" s="370">
        <f>H42+H49</f>
        <v>4598.01</v>
      </c>
    </row>
    <row r="52" spans="1:8" ht="17.100000000000001" customHeight="1" x14ac:dyDescent="0.25">
      <c r="A52" s="247"/>
      <c r="D52" s="215"/>
      <c r="E52" s="216"/>
      <c r="F52" s="216"/>
      <c r="G52" s="208"/>
      <c r="H52" s="370"/>
    </row>
    <row r="53" spans="1:8" ht="17.100000000000001" customHeight="1" x14ac:dyDescent="0.25">
      <c r="A53" s="205"/>
      <c r="B53" s="204"/>
      <c r="E53" s="219"/>
      <c r="F53" s="220"/>
      <c r="G53" s="203"/>
      <c r="H53" s="370"/>
    </row>
    <row r="54" spans="1:8" ht="17.100000000000001" customHeight="1" x14ac:dyDescent="0.25">
      <c r="A54" s="249" t="str">
        <f>++'MEMORIA DE CANTIDADES DE OBRA '!B349</f>
        <v>ING JHON ALEXANDER ARIAS</v>
      </c>
      <c r="B54" s="217"/>
      <c r="E54" s="216" t="str">
        <f>Presupuesto!D65</f>
        <v>ARQ. GUILLERMO YAMID VALLEJOS BENAVIDES</v>
      </c>
      <c r="F54" s="208"/>
      <c r="G54" s="208"/>
      <c r="H54" s="370"/>
    </row>
    <row r="55" spans="1:8" ht="16.5" customHeight="1" x14ac:dyDescent="0.25">
      <c r="A55" s="250" t="str">
        <f>++'MEMORIA DE CANTIDADES DE OBRA '!B350</f>
        <v>APOYO PROFESIONAL SPOPM</v>
      </c>
      <c r="B55" s="217"/>
      <c r="E55" s="208" t="str">
        <f>Presupuesto!D66</f>
        <v>SECRETARIO DE PLANEACION Y OBRAS PUBLICAS</v>
      </c>
      <c r="F55" s="208"/>
      <c r="G55" s="208"/>
      <c r="H55" s="370"/>
    </row>
    <row r="56" spans="1:8" ht="16.5" customHeight="1" x14ac:dyDescent="0.25">
      <c r="A56" s="250" t="str">
        <f>++'MEMORIA DE CANTIDADES DE OBRA '!B351</f>
        <v>MP 111037-0703225 NRÑ</v>
      </c>
      <c r="B56" s="217"/>
      <c r="E56" s="208" t="str">
        <f>+E113</f>
        <v>SAN MIGUEL - PUTUMAYO</v>
      </c>
      <c r="F56" s="208"/>
      <c r="G56" s="208"/>
      <c r="H56" s="370"/>
    </row>
    <row r="57" spans="1:8" ht="16.5" customHeight="1" x14ac:dyDescent="0.25">
      <c r="A57" s="217"/>
      <c r="B57" s="217"/>
      <c r="E57" s="208"/>
      <c r="F57" s="208"/>
      <c r="G57" s="208"/>
      <c r="H57" s="370"/>
    </row>
    <row r="58" spans="1:8" ht="16.5" customHeight="1" x14ac:dyDescent="0.3">
      <c r="A58" s="705"/>
      <c r="B58" s="706"/>
      <c r="C58" s="638" t="s">
        <v>224</v>
      </c>
      <c r="D58" s="625" t="s">
        <v>225</v>
      </c>
      <c r="E58" s="626"/>
      <c r="F58" s="275">
        <v>103</v>
      </c>
      <c r="G58" s="711"/>
      <c r="H58" s="711"/>
    </row>
    <row r="59" spans="1:8" ht="16.5" customHeight="1" x14ac:dyDescent="0.25">
      <c r="A59" s="707"/>
      <c r="B59" s="708"/>
      <c r="C59" s="639"/>
      <c r="D59" s="634" t="s">
        <v>195</v>
      </c>
      <c r="E59" s="635"/>
      <c r="F59" s="712">
        <v>51</v>
      </c>
      <c r="G59" s="711"/>
      <c r="H59" s="711"/>
    </row>
    <row r="60" spans="1:8" ht="16.5" customHeight="1" x14ac:dyDescent="0.25">
      <c r="A60" s="707"/>
      <c r="B60" s="708"/>
      <c r="C60" s="307" t="s">
        <v>196</v>
      </c>
      <c r="D60" s="636"/>
      <c r="E60" s="637"/>
      <c r="F60" s="713"/>
      <c r="G60" s="711"/>
      <c r="H60" s="711"/>
    </row>
    <row r="61" spans="1:8" ht="16.5" customHeight="1" x14ac:dyDescent="0.25">
      <c r="A61" s="707"/>
      <c r="B61" s="708"/>
      <c r="C61" s="308" t="s">
        <v>197</v>
      </c>
      <c r="D61" s="640" t="s">
        <v>198</v>
      </c>
      <c r="E61" s="641"/>
      <c r="F61" s="309">
        <v>1</v>
      </c>
      <c r="G61" s="711"/>
      <c r="H61" s="711"/>
    </row>
    <row r="62" spans="1:8" ht="16.5" customHeight="1" x14ac:dyDescent="0.25">
      <c r="A62" s="707"/>
      <c r="B62" s="708"/>
      <c r="C62" s="714" t="s">
        <v>199</v>
      </c>
      <c r="D62" s="716" t="s">
        <v>200</v>
      </c>
      <c r="E62" s="717"/>
      <c r="F62" s="307" t="s">
        <v>201</v>
      </c>
      <c r="G62" s="711"/>
      <c r="H62" s="711"/>
    </row>
    <row r="63" spans="1:8" ht="16.5" customHeight="1" x14ac:dyDescent="0.25">
      <c r="A63" s="709"/>
      <c r="B63" s="710"/>
      <c r="C63" s="715"/>
      <c r="D63" s="718"/>
      <c r="E63" s="719"/>
      <c r="F63" s="310">
        <v>44216</v>
      </c>
      <c r="G63" s="711"/>
      <c r="H63" s="711"/>
    </row>
    <row r="64" spans="1:8" ht="16.5" customHeight="1" thickBot="1" x14ac:dyDescent="0.3">
      <c r="A64" s="720"/>
      <c r="B64" s="721"/>
      <c r="C64" s="721"/>
      <c r="D64" s="721"/>
      <c r="E64" s="721"/>
      <c r="F64" s="721"/>
      <c r="G64" s="721"/>
      <c r="H64" s="722"/>
    </row>
    <row r="65" spans="1:8" ht="16.5" customHeight="1" x14ac:dyDescent="0.25">
      <c r="A65" s="723" t="str">
        <f>+Presupuesto!A8</f>
        <v>ADECUACION Y MEJORAMIENTO DE AULAS ESCOLARES UBICADA EN LA INSTITUCION EDUCATIVA TECNICO COMERCIAL LA DORADA SEDE ESCUELA CENTRAL DEL MUNICIPIO DE SAN MIGUEL PUTUMAYO</v>
      </c>
      <c r="B65" s="724"/>
      <c r="C65" s="724"/>
      <c r="D65" s="724"/>
      <c r="E65" s="724"/>
      <c r="F65" s="724"/>
      <c r="G65" s="724"/>
      <c r="H65" s="725"/>
    </row>
    <row r="66" spans="1:8" ht="16.5" customHeight="1" thickBot="1" x14ac:dyDescent="0.3">
      <c r="A66" s="726"/>
      <c r="B66" s="727"/>
      <c r="C66" s="727"/>
      <c r="D66" s="727"/>
      <c r="E66" s="727"/>
      <c r="F66" s="727"/>
      <c r="G66" s="727"/>
      <c r="H66" s="728"/>
    </row>
    <row r="67" spans="1:8" ht="16.5" customHeight="1" thickBot="1" x14ac:dyDescent="0.3">
      <c r="A67" s="273"/>
      <c r="B67" s="274"/>
      <c r="C67" s="274"/>
      <c r="D67" s="274"/>
      <c r="E67" s="274"/>
      <c r="F67" s="274"/>
      <c r="G67" s="274"/>
      <c r="H67" s="443"/>
    </row>
    <row r="68" spans="1:8" ht="16.5" customHeight="1" thickBot="1" x14ac:dyDescent="0.3">
      <c r="A68" s="729" t="s">
        <v>26</v>
      </c>
      <c r="B68" s="730"/>
      <c r="C68" s="730"/>
      <c r="D68" s="730"/>
      <c r="E68" s="730"/>
      <c r="F68" s="730"/>
      <c r="G68" s="730"/>
      <c r="H68" s="731"/>
    </row>
    <row r="69" spans="1:8" ht="16.5" customHeight="1" thickBot="1" x14ac:dyDescent="0.3">
      <c r="A69" s="247"/>
      <c r="H69" s="370"/>
    </row>
    <row r="70" spans="1:8" ht="16.5" customHeight="1" thickBot="1" x14ac:dyDescent="0.3">
      <c r="A70" s="351">
        <f>+Presupuesto!A16</f>
        <v>1.2</v>
      </c>
      <c r="B70" s="732" t="str">
        <f>+Presupuesto!B16</f>
        <v>CERRAMIENTO PERIMETRAL CON LONA VERDE</v>
      </c>
      <c r="C70" s="733"/>
      <c r="D70" s="733"/>
      <c r="E70" s="733"/>
      <c r="F70" s="734"/>
      <c r="G70" s="352" t="s">
        <v>28</v>
      </c>
      <c r="H70" s="444" t="str">
        <f>+Presupuesto!D16</f>
        <v>ML</v>
      </c>
    </row>
    <row r="71" spans="1:8" ht="16.5" customHeight="1" x14ac:dyDescent="0.25">
      <c r="A71" s="247"/>
      <c r="H71" s="370"/>
    </row>
    <row r="72" spans="1:8" ht="16.5" customHeight="1" x14ac:dyDescent="0.25">
      <c r="A72" s="206" t="s">
        <v>29</v>
      </c>
      <c r="B72" s="704" t="s">
        <v>30</v>
      </c>
      <c r="C72" s="704"/>
      <c r="D72" s="704"/>
      <c r="E72" s="704"/>
      <c r="F72" s="704"/>
      <c r="G72" s="704"/>
      <c r="H72" s="370"/>
    </row>
    <row r="73" spans="1:8" ht="16.5" customHeight="1" x14ac:dyDescent="0.25">
      <c r="A73" s="225"/>
      <c r="B73" s="735" t="s">
        <v>31</v>
      </c>
      <c r="C73" s="736"/>
      <c r="D73" s="225" t="s">
        <v>32</v>
      </c>
      <c r="E73" s="225" t="s">
        <v>33</v>
      </c>
      <c r="F73" s="225" t="s">
        <v>34</v>
      </c>
      <c r="G73" s="225" t="s">
        <v>35</v>
      </c>
      <c r="H73" s="370"/>
    </row>
    <row r="74" spans="1:8" ht="16.5" customHeight="1" x14ac:dyDescent="0.25">
      <c r="A74" s="199"/>
      <c r="B74" s="737" t="s">
        <v>67</v>
      </c>
      <c r="C74" s="738"/>
      <c r="D74" s="199"/>
      <c r="E74" s="207"/>
      <c r="F74" s="207">
        <v>0.1</v>
      </c>
      <c r="G74" s="218">
        <f>ROUND((H91*F74),2)</f>
        <v>391.18</v>
      </c>
      <c r="H74" s="370"/>
    </row>
    <row r="75" spans="1:8" ht="16.5" customHeight="1" x14ac:dyDescent="0.25">
      <c r="A75" s="199"/>
      <c r="B75" s="735"/>
      <c r="C75" s="736"/>
      <c r="D75" s="199"/>
      <c r="E75" s="207"/>
      <c r="F75" s="207"/>
      <c r="G75" s="207"/>
      <c r="H75" s="370"/>
    </row>
    <row r="76" spans="1:8" ht="16.5" customHeight="1" x14ac:dyDescent="0.25">
      <c r="A76" s="199"/>
      <c r="B76" s="735"/>
      <c r="C76" s="736"/>
      <c r="D76" s="199"/>
      <c r="E76" s="207"/>
      <c r="F76" s="207"/>
      <c r="G76" s="207"/>
      <c r="H76" s="370"/>
    </row>
    <row r="77" spans="1:8" ht="16.5" customHeight="1" x14ac:dyDescent="0.25">
      <c r="A77" s="248"/>
      <c r="E77" s="208" t="s">
        <v>36</v>
      </c>
      <c r="F77" s="208"/>
      <c r="G77" s="208"/>
      <c r="H77" s="370">
        <f>SUM(G74:G76)</f>
        <v>391.18</v>
      </c>
    </row>
    <row r="78" spans="1:8" ht="16.5" customHeight="1" x14ac:dyDescent="0.25">
      <c r="A78" s="206" t="s">
        <v>37</v>
      </c>
      <c r="B78" s="704" t="s">
        <v>38</v>
      </c>
      <c r="C78" s="704"/>
      <c r="D78" s="704"/>
      <c r="E78" s="704"/>
      <c r="F78" s="704"/>
      <c r="G78" s="704"/>
      <c r="H78" s="370"/>
    </row>
    <row r="79" spans="1:8" ht="16.5" customHeight="1" x14ac:dyDescent="0.25">
      <c r="A79" s="225"/>
      <c r="B79" s="735" t="s">
        <v>31</v>
      </c>
      <c r="C79" s="736"/>
      <c r="D79" s="199" t="s">
        <v>12</v>
      </c>
      <c r="E79" s="209" t="s">
        <v>39</v>
      </c>
      <c r="F79" s="209" t="s">
        <v>40</v>
      </c>
      <c r="G79" s="209" t="s">
        <v>35</v>
      </c>
      <c r="H79" s="370"/>
    </row>
    <row r="80" spans="1:8" ht="16.5" customHeight="1" x14ac:dyDescent="0.25">
      <c r="A80" s="199"/>
      <c r="B80" s="739" t="s">
        <v>443</v>
      </c>
      <c r="C80" s="740"/>
      <c r="D80" s="221" t="s">
        <v>130</v>
      </c>
      <c r="E80" s="207">
        <v>0.2</v>
      </c>
      <c r="F80" s="207">
        <v>10550</v>
      </c>
      <c r="G80" s="207">
        <f>ROUND((E80*F80),2)</f>
        <v>2110</v>
      </c>
      <c r="H80" s="370"/>
    </row>
    <row r="81" spans="1:8" ht="16.5" customHeight="1" x14ac:dyDescent="0.25">
      <c r="A81" s="199"/>
      <c r="B81" s="739" t="s">
        <v>447</v>
      </c>
      <c r="C81" s="740"/>
      <c r="D81" s="221" t="s">
        <v>76</v>
      </c>
      <c r="E81" s="207">
        <v>0.25</v>
      </c>
      <c r="F81" s="207">
        <v>9500</v>
      </c>
      <c r="G81" s="207">
        <f t="shared" ref="G81:G83" si="0">ROUND((E81*F81),2)</f>
        <v>2375</v>
      </c>
      <c r="H81" s="370"/>
    </row>
    <row r="82" spans="1:8" ht="16.5" customHeight="1" x14ac:dyDescent="0.25">
      <c r="A82" s="199"/>
      <c r="B82" s="739" t="s">
        <v>444</v>
      </c>
      <c r="C82" s="740"/>
      <c r="D82" s="221" t="s">
        <v>446</v>
      </c>
      <c r="E82" s="221">
        <v>0.1</v>
      </c>
      <c r="F82" s="221">
        <v>6500</v>
      </c>
      <c r="G82" s="207">
        <f t="shared" si="0"/>
        <v>650</v>
      </c>
      <c r="H82" s="370"/>
    </row>
    <row r="83" spans="1:8" ht="16.5" customHeight="1" x14ac:dyDescent="0.25">
      <c r="A83" s="199"/>
      <c r="B83" s="739" t="s">
        <v>445</v>
      </c>
      <c r="C83" s="740"/>
      <c r="D83" s="199" t="s">
        <v>419</v>
      </c>
      <c r="E83" s="207">
        <v>1</v>
      </c>
      <c r="F83" s="207">
        <v>2700</v>
      </c>
      <c r="G83" s="207">
        <f t="shared" si="0"/>
        <v>2700</v>
      </c>
      <c r="H83" s="370"/>
    </row>
    <row r="84" spans="1:8" ht="16.5" customHeight="1" x14ac:dyDescent="0.25">
      <c r="A84" s="199"/>
      <c r="B84" s="746"/>
      <c r="C84" s="747"/>
      <c r="D84" s="199"/>
      <c r="E84" s="207"/>
      <c r="F84" s="207"/>
      <c r="G84" s="207"/>
      <c r="H84" s="370"/>
    </row>
    <row r="85" spans="1:8" ht="16.5" customHeight="1" x14ac:dyDescent="0.25">
      <c r="A85" s="248" t="s">
        <v>41</v>
      </c>
      <c r="E85" s="208" t="s">
        <v>42</v>
      </c>
      <c r="F85" s="208"/>
      <c r="G85" s="208"/>
      <c r="H85" s="370">
        <f>(SUM(G80:G82))</f>
        <v>5135</v>
      </c>
    </row>
    <row r="86" spans="1:8" ht="16.5" customHeight="1" x14ac:dyDescent="0.25">
      <c r="A86" s="206" t="s">
        <v>43</v>
      </c>
      <c r="B86" s="704" t="s">
        <v>44</v>
      </c>
      <c r="C86" s="704"/>
      <c r="D86" s="704"/>
      <c r="E86" s="704"/>
      <c r="F86" s="704"/>
      <c r="G86" s="704"/>
      <c r="H86" s="370"/>
    </row>
    <row r="87" spans="1:8" ht="16.5" customHeight="1" x14ac:dyDescent="0.25">
      <c r="A87" s="199" t="s">
        <v>45</v>
      </c>
      <c r="B87" s="225" t="s">
        <v>31</v>
      </c>
      <c r="C87" s="225" t="s">
        <v>46</v>
      </c>
      <c r="D87" s="225" t="s">
        <v>47</v>
      </c>
      <c r="E87" s="209" t="s">
        <v>48</v>
      </c>
      <c r="F87" s="207" t="s">
        <v>34</v>
      </c>
      <c r="G87" s="207" t="s">
        <v>35</v>
      </c>
      <c r="H87" s="370"/>
    </row>
    <row r="88" spans="1:8" ht="16.5" customHeight="1" x14ac:dyDescent="0.25">
      <c r="A88" s="199">
        <v>1</v>
      </c>
      <c r="B88" s="199" t="s">
        <v>189</v>
      </c>
      <c r="C88" s="211">
        <v>70000</v>
      </c>
      <c r="D88" s="212">
        <v>0.75</v>
      </c>
      <c r="E88" s="210">
        <f>+(A88*C88)+(A88*C88*D88)</f>
        <v>122500</v>
      </c>
      <c r="F88" s="213">
        <v>85</v>
      </c>
      <c r="G88" s="218">
        <f>ROUND((E88)/(F88),2)</f>
        <v>1441.18</v>
      </c>
      <c r="H88" s="370"/>
    </row>
    <row r="89" spans="1:8" ht="16.5" customHeight="1" x14ac:dyDescent="0.25">
      <c r="A89" s="199">
        <v>1</v>
      </c>
      <c r="B89" s="199" t="s">
        <v>233</v>
      </c>
      <c r="C89" s="211">
        <v>120000</v>
      </c>
      <c r="D89" s="212">
        <v>0.75</v>
      </c>
      <c r="E89" s="210">
        <f>+(A89*C89)+(A89*C89*D89)</f>
        <v>210000</v>
      </c>
      <c r="F89" s="213">
        <v>85</v>
      </c>
      <c r="G89" s="218">
        <f>ROUND((E89)/(F89),2)</f>
        <v>2470.59</v>
      </c>
      <c r="H89" s="370"/>
    </row>
    <row r="90" spans="1:8" ht="16.5" customHeight="1" x14ac:dyDescent="0.25">
      <c r="A90" s="199"/>
      <c r="B90" s="199"/>
      <c r="C90" s="199"/>
      <c r="D90" s="199"/>
      <c r="E90" s="207"/>
      <c r="F90" s="207"/>
      <c r="G90" s="207"/>
      <c r="H90" s="370"/>
    </row>
    <row r="91" spans="1:8" ht="16.5" customHeight="1" x14ac:dyDescent="0.25">
      <c r="A91" s="248"/>
      <c r="E91" s="208" t="s">
        <v>50</v>
      </c>
      <c r="F91" s="208"/>
      <c r="G91" s="208"/>
      <c r="H91" s="370">
        <f>SUM(G88)+(G89)</f>
        <v>3911.7700000000004</v>
      </c>
    </row>
    <row r="92" spans="1:8" ht="16.5" customHeight="1" x14ac:dyDescent="0.25">
      <c r="A92" s="206" t="s">
        <v>51</v>
      </c>
      <c r="B92" s="704" t="s">
        <v>18</v>
      </c>
      <c r="C92" s="704"/>
      <c r="D92" s="704"/>
      <c r="E92" s="704"/>
      <c r="F92" s="704"/>
      <c r="G92" s="704"/>
      <c r="H92" s="370"/>
    </row>
    <row r="93" spans="1:8" ht="16.5" customHeight="1" x14ac:dyDescent="0.25">
      <c r="A93" s="199"/>
      <c r="B93" s="199" t="s">
        <v>31</v>
      </c>
      <c r="C93" s="225" t="s">
        <v>12</v>
      </c>
      <c r="D93" s="225" t="s">
        <v>13</v>
      </c>
      <c r="E93" s="225" t="s">
        <v>52</v>
      </c>
      <c r="F93" s="225"/>
      <c r="G93" s="207" t="s">
        <v>53</v>
      </c>
      <c r="H93" s="370"/>
    </row>
    <row r="94" spans="1:8" ht="16.5" customHeight="1" x14ac:dyDescent="0.25">
      <c r="A94" s="199"/>
      <c r="B94" s="199"/>
      <c r="C94" s="214"/>
      <c r="D94" s="199"/>
      <c r="E94" s="207"/>
      <c r="F94" s="207"/>
      <c r="G94" s="207"/>
      <c r="H94" s="370"/>
    </row>
    <row r="95" spans="1:8" ht="16.5" customHeight="1" x14ac:dyDescent="0.25">
      <c r="A95" s="199"/>
      <c r="B95" s="199"/>
      <c r="C95" s="210"/>
      <c r="D95" s="199"/>
      <c r="E95" s="207"/>
      <c r="F95" s="207"/>
      <c r="G95" s="207"/>
      <c r="H95" s="370"/>
    </row>
    <row r="96" spans="1:8" ht="16.5" customHeight="1" x14ac:dyDescent="0.25">
      <c r="A96" s="199"/>
      <c r="B96" s="199"/>
      <c r="C96" s="199"/>
      <c r="D96" s="199"/>
      <c r="E96" s="207"/>
      <c r="F96" s="207"/>
      <c r="G96" s="207"/>
      <c r="H96" s="370"/>
    </row>
    <row r="97" spans="1:8" ht="16.5" customHeight="1" x14ac:dyDescent="0.25">
      <c r="A97" s="248"/>
      <c r="E97" s="208" t="s">
        <v>50</v>
      </c>
      <c r="F97" s="208"/>
      <c r="G97" s="208"/>
      <c r="H97" s="370">
        <f>ROUND(SUM(G94)+(G95),0)</f>
        <v>0</v>
      </c>
    </row>
    <row r="98" spans="1:8" ht="16.5" customHeight="1" x14ac:dyDescent="0.25">
      <c r="A98" s="247"/>
      <c r="E98" s="208"/>
      <c r="F98" s="208"/>
      <c r="G98" s="208"/>
      <c r="H98" s="370"/>
    </row>
    <row r="99" spans="1:8" ht="16.5" customHeight="1" x14ac:dyDescent="0.25">
      <c r="A99" s="247"/>
      <c r="D99" s="215" t="s">
        <v>54</v>
      </c>
      <c r="E99" s="216"/>
      <c r="F99" s="216"/>
      <c r="G99" s="216"/>
      <c r="H99" s="370">
        <f>ROUND((SUM(H77:H98)),2)</f>
        <v>9437.9500000000007</v>
      </c>
    </row>
    <row r="100" spans="1:8" ht="16.5" customHeight="1" x14ac:dyDescent="0.25">
      <c r="A100" s="247"/>
      <c r="E100" s="208"/>
      <c r="F100" s="208"/>
      <c r="G100" s="208"/>
      <c r="H100" s="370"/>
    </row>
    <row r="101" spans="1:8" ht="16.5" customHeight="1" x14ac:dyDescent="0.25">
      <c r="A101" s="206" t="s">
        <v>55</v>
      </c>
      <c r="B101" s="704" t="s">
        <v>56</v>
      </c>
      <c r="C101" s="704"/>
      <c r="D101" s="704"/>
      <c r="E101" s="704"/>
      <c r="F101" s="704"/>
      <c r="G101" s="704"/>
      <c r="H101" s="370"/>
    </row>
    <row r="102" spans="1:8" ht="16.5" customHeight="1" x14ac:dyDescent="0.25">
      <c r="A102" s="225"/>
      <c r="B102" s="225" t="s">
        <v>31</v>
      </c>
      <c r="C102" s="225" t="s">
        <v>57</v>
      </c>
      <c r="D102" s="199" t="s">
        <v>58</v>
      </c>
      <c r="E102" s="207"/>
      <c r="F102" s="207" t="s">
        <v>59</v>
      </c>
      <c r="G102" s="207"/>
      <c r="H102" s="370"/>
    </row>
    <row r="103" spans="1:8" ht="16.5" customHeight="1" x14ac:dyDescent="0.25">
      <c r="A103" s="199"/>
      <c r="B103" s="225" t="s">
        <v>60</v>
      </c>
      <c r="C103" s="212">
        <v>0.28000000000000003</v>
      </c>
      <c r="D103" s="199"/>
      <c r="E103" s="210"/>
      <c r="F103" s="199"/>
      <c r="G103" s="218">
        <f>ROUND((H99*C103),2)</f>
        <v>2642.63</v>
      </c>
      <c r="H103" s="370"/>
    </row>
    <row r="104" spans="1:8" ht="16.5" customHeight="1" x14ac:dyDescent="0.25">
      <c r="A104" s="199"/>
      <c r="B104" s="225" t="s">
        <v>61</v>
      </c>
      <c r="C104" s="212">
        <v>0.01</v>
      </c>
      <c r="D104" s="199"/>
      <c r="E104" s="210"/>
      <c r="F104" s="199"/>
      <c r="G104" s="218">
        <f>ROUND((H99*C104),2)</f>
        <v>94.38</v>
      </c>
      <c r="H104" s="370"/>
    </row>
    <row r="105" spans="1:8" ht="16.5" customHeight="1" x14ac:dyDescent="0.25">
      <c r="A105" s="199"/>
      <c r="B105" s="225" t="s">
        <v>62</v>
      </c>
      <c r="C105" s="212">
        <v>0.03</v>
      </c>
      <c r="D105" s="199"/>
      <c r="E105" s="210"/>
      <c r="F105" s="199"/>
      <c r="G105" s="218">
        <f>ROUND((H99*C105),2)</f>
        <v>283.14</v>
      </c>
      <c r="H105" s="370"/>
    </row>
    <row r="106" spans="1:8" ht="16.5" customHeight="1" x14ac:dyDescent="0.25">
      <c r="A106" s="247"/>
      <c r="D106" s="215" t="s">
        <v>63</v>
      </c>
      <c r="E106" s="216"/>
      <c r="F106" s="216"/>
      <c r="G106" s="216"/>
      <c r="H106" s="370">
        <f>SUM(G102:G105)</f>
        <v>3020.15</v>
      </c>
    </row>
    <row r="107" spans="1:8" ht="16.5" customHeight="1" x14ac:dyDescent="0.25">
      <c r="A107" s="247"/>
      <c r="E107" s="208"/>
      <c r="F107" s="208"/>
      <c r="G107" s="208"/>
      <c r="H107" s="370"/>
    </row>
    <row r="108" spans="1:8" ht="16.5" customHeight="1" x14ac:dyDescent="0.25">
      <c r="A108" s="247"/>
      <c r="D108" s="215" t="s">
        <v>64</v>
      </c>
      <c r="E108" s="216"/>
      <c r="F108" s="216"/>
      <c r="G108" s="208"/>
      <c r="H108" s="370">
        <f>H99+H106</f>
        <v>12458.1</v>
      </c>
    </row>
    <row r="109" spans="1:8" ht="16.5" customHeight="1" x14ac:dyDescent="0.25">
      <c r="A109" s="247"/>
      <c r="D109" s="215"/>
      <c r="E109" s="216"/>
      <c r="F109" s="216"/>
      <c r="G109" s="208"/>
      <c r="H109" s="370"/>
    </row>
    <row r="110" spans="1:8" ht="16.5" customHeight="1" x14ac:dyDescent="0.25">
      <c r="A110" s="205"/>
      <c r="B110" s="204"/>
      <c r="E110" s="219"/>
      <c r="F110" s="220"/>
      <c r="G110" s="203"/>
      <c r="H110" s="370"/>
    </row>
    <row r="111" spans="1:8" ht="16.5" customHeight="1" x14ac:dyDescent="0.25">
      <c r="A111" s="249" t="str">
        <f>+A54</f>
        <v>ING JHON ALEXANDER ARIAS</v>
      </c>
      <c r="B111" s="217"/>
      <c r="E111" s="216" t="str">
        <f>+E54</f>
        <v>ARQ. GUILLERMO YAMID VALLEJOS BENAVIDES</v>
      </c>
      <c r="F111" s="208"/>
      <c r="G111" s="208"/>
      <c r="H111" s="370"/>
    </row>
    <row r="112" spans="1:8" ht="16.5" customHeight="1" x14ac:dyDescent="0.25">
      <c r="A112" s="250" t="str">
        <f t="shared" ref="A112:A113" si="1">+A55</f>
        <v>APOYO PROFESIONAL SPOPM</v>
      </c>
      <c r="B112" s="217"/>
      <c r="E112" s="208" t="str">
        <f>+E55</f>
        <v>SECRETARIO DE PLANEACION Y OBRAS PUBLICAS</v>
      </c>
      <c r="F112" s="208"/>
      <c r="G112" s="208"/>
      <c r="H112" s="370"/>
    </row>
    <row r="113" spans="1:27" ht="16.5" customHeight="1" x14ac:dyDescent="0.25">
      <c r="A113" s="250" t="str">
        <f t="shared" si="1"/>
        <v>MP 111037-0703225 NRÑ</v>
      </c>
      <c r="B113" s="217"/>
      <c r="E113" s="208" t="str">
        <f>+E171</f>
        <v>SAN MIGUEL - PUTUMAYO</v>
      </c>
      <c r="F113" s="208"/>
      <c r="G113" s="208"/>
      <c r="H113" s="370"/>
    </row>
    <row r="114" spans="1:27" ht="16.5" customHeight="1" x14ac:dyDescent="0.25">
      <c r="A114" s="217"/>
      <c r="B114" s="217"/>
      <c r="E114" s="208"/>
      <c r="F114" s="208"/>
      <c r="G114" s="208"/>
      <c r="H114" s="370"/>
    </row>
    <row r="115" spans="1:27" ht="16.5" customHeight="1" x14ac:dyDescent="0.25">
      <c r="B115" s="217"/>
      <c r="E115" s="208"/>
      <c r="F115" s="208"/>
      <c r="G115" s="208"/>
      <c r="H115" s="370"/>
    </row>
    <row r="116" spans="1:27" ht="17.100000000000001" customHeight="1" x14ac:dyDescent="0.3">
      <c r="A116" s="705"/>
      <c r="B116" s="706"/>
      <c r="C116" s="638" t="s">
        <v>224</v>
      </c>
      <c r="D116" s="625" t="s">
        <v>225</v>
      </c>
      <c r="E116" s="626"/>
      <c r="F116" s="275">
        <v>103</v>
      </c>
      <c r="G116" s="711"/>
      <c r="H116" s="711"/>
      <c r="Q116"/>
      <c r="R116"/>
      <c r="S116"/>
      <c r="T116"/>
      <c r="U116"/>
      <c r="V116"/>
      <c r="W116"/>
      <c r="X116"/>
      <c r="Y116"/>
      <c r="Z116"/>
      <c r="AA116"/>
    </row>
    <row r="117" spans="1:27" ht="17.100000000000001" customHeight="1" x14ac:dyDescent="0.3">
      <c r="A117" s="707"/>
      <c r="B117" s="708"/>
      <c r="C117" s="639"/>
      <c r="D117" s="634" t="s">
        <v>195</v>
      </c>
      <c r="E117" s="635"/>
      <c r="F117" s="712">
        <v>51</v>
      </c>
      <c r="G117" s="711"/>
      <c r="H117" s="711"/>
      <c r="Q117"/>
      <c r="R117"/>
      <c r="S117"/>
      <c r="T117"/>
      <c r="U117"/>
      <c r="V117"/>
      <c r="W117"/>
      <c r="X117"/>
      <c r="Y117"/>
      <c r="Z117"/>
      <c r="AA117"/>
    </row>
    <row r="118" spans="1:27" ht="17.100000000000001" customHeight="1" x14ac:dyDescent="0.3">
      <c r="A118" s="707"/>
      <c r="B118" s="708"/>
      <c r="C118" s="307" t="s">
        <v>196</v>
      </c>
      <c r="D118" s="636"/>
      <c r="E118" s="637"/>
      <c r="F118" s="713"/>
      <c r="G118" s="711"/>
      <c r="H118" s="711"/>
      <c r="Q118"/>
      <c r="R118"/>
      <c r="S118"/>
      <c r="T118"/>
      <c r="U118"/>
      <c r="V118"/>
      <c r="W118"/>
      <c r="X118"/>
      <c r="Y118"/>
      <c r="Z118"/>
      <c r="AA118"/>
    </row>
    <row r="119" spans="1:27" ht="17.100000000000001" customHeight="1" x14ac:dyDescent="0.3">
      <c r="A119" s="707"/>
      <c r="B119" s="708"/>
      <c r="C119" s="308" t="s">
        <v>197</v>
      </c>
      <c r="D119" s="640" t="s">
        <v>198</v>
      </c>
      <c r="E119" s="641"/>
      <c r="F119" s="309">
        <v>1</v>
      </c>
      <c r="G119" s="711"/>
      <c r="H119" s="711"/>
      <c r="Q119"/>
      <c r="R119"/>
      <c r="S119"/>
      <c r="T119"/>
      <c r="U119"/>
      <c r="V119"/>
      <c r="W119"/>
      <c r="X119"/>
      <c r="Y119"/>
      <c r="Z119"/>
      <c r="AA119"/>
    </row>
    <row r="120" spans="1:27" ht="14.4" x14ac:dyDescent="0.3">
      <c r="A120" s="707"/>
      <c r="B120" s="708"/>
      <c r="C120" s="714" t="s">
        <v>199</v>
      </c>
      <c r="D120" s="716" t="s">
        <v>200</v>
      </c>
      <c r="E120" s="717"/>
      <c r="F120" s="307" t="s">
        <v>201</v>
      </c>
      <c r="G120" s="711"/>
      <c r="H120" s="711"/>
      <c r="Q120"/>
      <c r="R120"/>
      <c r="S120"/>
      <c r="T120"/>
      <c r="U120"/>
      <c r="V120"/>
      <c r="W120"/>
      <c r="X120"/>
      <c r="Y120"/>
      <c r="Z120"/>
      <c r="AA120"/>
    </row>
    <row r="121" spans="1:27" ht="17.100000000000001" customHeight="1" x14ac:dyDescent="0.3">
      <c r="A121" s="709"/>
      <c r="B121" s="710"/>
      <c r="C121" s="715"/>
      <c r="D121" s="718"/>
      <c r="E121" s="719"/>
      <c r="F121" s="310">
        <v>44216</v>
      </c>
      <c r="G121" s="711"/>
      <c r="H121" s="711"/>
      <c r="Q121"/>
      <c r="R121"/>
      <c r="S121"/>
      <c r="T121"/>
      <c r="U121"/>
      <c r="V121"/>
      <c r="W121"/>
      <c r="X121"/>
      <c r="Y121"/>
      <c r="Z121"/>
      <c r="AA121"/>
    </row>
    <row r="122" spans="1:27" ht="17.100000000000001" customHeight="1" thickBot="1" x14ac:dyDescent="0.35">
      <c r="A122" s="720"/>
      <c r="B122" s="721"/>
      <c r="C122" s="721"/>
      <c r="D122" s="721"/>
      <c r="E122" s="721"/>
      <c r="F122" s="721"/>
      <c r="G122" s="721"/>
      <c r="H122" s="722"/>
      <c r="Q122"/>
      <c r="R122"/>
      <c r="S122"/>
      <c r="T122"/>
      <c r="U122"/>
      <c r="V122"/>
      <c r="W122"/>
      <c r="X122"/>
      <c r="Y122"/>
      <c r="Z122"/>
      <c r="AA122"/>
    </row>
    <row r="123" spans="1:27" ht="24.75" customHeight="1" x14ac:dyDescent="0.3">
      <c r="A123" s="723" t="str">
        <f>Presupuesto!A8</f>
        <v>ADECUACION Y MEJORAMIENTO DE AULAS ESCOLARES UBICADA EN LA INSTITUCION EDUCATIVA TECNICO COMERCIAL LA DORADA SEDE ESCUELA CENTRAL DEL MUNICIPIO DE SAN MIGUEL PUTUMAYO</v>
      </c>
      <c r="B123" s="724"/>
      <c r="C123" s="724"/>
      <c r="D123" s="724"/>
      <c r="E123" s="724"/>
      <c r="F123" s="724"/>
      <c r="G123" s="724"/>
      <c r="H123" s="725"/>
      <c r="Q123"/>
      <c r="R123"/>
      <c r="S123"/>
      <c r="T123"/>
      <c r="U123"/>
      <c r="V123"/>
      <c r="W123"/>
      <c r="X123"/>
      <c r="Y123"/>
      <c r="Z123"/>
      <c r="AA123"/>
    </row>
    <row r="124" spans="1:27" ht="18" customHeight="1" thickBot="1" x14ac:dyDescent="0.35">
      <c r="A124" s="726"/>
      <c r="B124" s="727"/>
      <c r="C124" s="727"/>
      <c r="D124" s="727"/>
      <c r="E124" s="727"/>
      <c r="F124" s="727"/>
      <c r="G124" s="727"/>
      <c r="H124" s="728"/>
      <c r="Q124"/>
      <c r="R124"/>
      <c r="S124"/>
      <c r="T124"/>
      <c r="U124"/>
      <c r="V124"/>
      <c r="W124"/>
      <c r="X124"/>
      <c r="Y124"/>
      <c r="Z124"/>
      <c r="AA124"/>
    </row>
    <row r="125" spans="1:27" ht="17.100000000000001" customHeight="1" thickBot="1" x14ac:dyDescent="0.35">
      <c r="A125" s="273"/>
      <c r="B125" s="274"/>
      <c r="C125" s="274"/>
      <c r="D125" s="274"/>
      <c r="E125" s="274"/>
      <c r="F125" s="274"/>
      <c r="G125" s="274"/>
      <c r="H125" s="443"/>
      <c r="Q125"/>
      <c r="R125"/>
      <c r="S125"/>
      <c r="T125"/>
      <c r="U125"/>
      <c r="V125"/>
      <c r="W125"/>
      <c r="X125"/>
      <c r="Y125"/>
      <c r="Z125"/>
      <c r="AA125"/>
    </row>
    <row r="126" spans="1:27" ht="17.100000000000001" customHeight="1" thickBot="1" x14ac:dyDescent="0.35">
      <c r="A126" s="729" t="s">
        <v>26</v>
      </c>
      <c r="B126" s="730"/>
      <c r="C126" s="730"/>
      <c r="D126" s="730"/>
      <c r="E126" s="730"/>
      <c r="F126" s="730"/>
      <c r="G126" s="730"/>
      <c r="H126" s="731"/>
      <c r="Q126"/>
      <c r="R126"/>
      <c r="S126"/>
      <c r="T126"/>
      <c r="U126"/>
      <c r="V126"/>
      <c r="W126"/>
      <c r="X126"/>
      <c r="Y126"/>
      <c r="Z126"/>
      <c r="AA126"/>
    </row>
    <row r="127" spans="1:27" ht="17.100000000000001" customHeight="1" thickBot="1" x14ac:dyDescent="0.35">
      <c r="A127" s="247"/>
      <c r="H127" s="370"/>
      <c r="Q127"/>
      <c r="R127"/>
      <c r="S127"/>
      <c r="T127"/>
      <c r="U127"/>
      <c r="V127"/>
      <c r="W127"/>
      <c r="X127"/>
      <c r="Y127"/>
      <c r="Z127"/>
      <c r="AA127"/>
    </row>
    <row r="128" spans="1:27" ht="17.100000000000001" customHeight="1" thickBot="1" x14ac:dyDescent="0.35">
      <c r="A128" s="351">
        <f>Presupuesto!A17</f>
        <v>1.3</v>
      </c>
      <c r="B128" s="732" t="str">
        <f>Presupuesto!B17</f>
        <v>DEMOLICION DE PLACA EN CONCRETO REFORZADO ENTREPISO AULA 2</v>
      </c>
      <c r="C128" s="733"/>
      <c r="D128" s="733"/>
      <c r="E128" s="733"/>
      <c r="F128" s="734"/>
      <c r="G128" s="352" t="s">
        <v>28</v>
      </c>
      <c r="H128" s="444" t="str">
        <f>Presupuesto!D17</f>
        <v>M2</v>
      </c>
      <c r="Q128"/>
      <c r="R128"/>
      <c r="S128"/>
      <c r="T128"/>
      <c r="U128"/>
      <c r="V128"/>
      <c r="W128"/>
      <c r="X128"/>
      <c r="Y128"/>
      <c r="Z128"/>
      <c r="AA128"/>
    </row>
    <row r="129" spans="1:27" ht="17.100000000000001" customHeight="1" x14ac:dyDescent="0.3">
      <c r="A129" s="247"/>
      <c r="H129" s="370"/>
      <c r="Q129"/>
      <c r="R129"/>
      <c r="S129"/>
      <c r="T129"/>
      <c r="U129"/>
      <c r="V129"/>
      <c r="W129"/>
      <c r="X129"/>
      <c r="Y129"/>
      <c r="Z129"/>
      <c r="AA129"/>
    </row>
    <row r="130" spans="1:27" ht="17.100000000000001" customHeight="1" x14ac:dyDescent="0.3">
      <c r="A130" s="206" t="s">
        <v>29</v>
      </c>
      <c r="B130" s="704" t="s">
        <v>30</v>
      </c>
      <c r="C130" s="704"/>
      <c r="D130" s="704"/>
      <c r="E130" s="704"/>
      <c r="F130" s="704"/>
      <c r="G130" s="704"/>
      <c r="H130" s="370"/>
      <c r="Q130"/>
      <c r="R130"/>
      <c r="S130"/>
      <c r="T130"/>
      <c r="U130"/>
      <c r="V130"/>
      <c r="W130"/>
      <c r="X130"/>
      <c r="Y130"/>
      <c r="Z130"/>
      <c r="AA130"/>
    </row>
    <row r="131" spans="1:27" ht="17.100000000000001" customHeight="1" x14ac:dyDescent="0.3">
      <c r="A131" s="225"/>
      <c r="B131" s="735" t="s">
        <v>31</v>
      </c>
      <c r="C131" s="736"/>
      <c r="D131" s="225" t="s">
        <v>32</v>
      </c>
      <c r="E131" s="225" t="s">
        <v>33</v>
      </c>
      <c r="F131" s="225" t="s">
        <v>34</v>
      </c>
      <c r="G131" s="225" t="s">
        <v>35</v>
      </c>
      <c r="H131" s="370"/>
      <c r="Q131"/>
      <c r="R131"/>
      <c r="S131"/>
      <c r="T131"/>
      <c r="U131"/>
      <c r="V131"/>
      <c r="W131"/>
      <c r="X131"/>
      <c r="Y131"/>
      <c r="Z131"/>
      <c r="AA131"/>
    </row>
    <row r="132" spans="1:27" ht="17.100000000000001" customHeight="1" x14ac:dyDescent="0.3">
      <c r="A132" s="199"/>
      <c r="B132" s="737" t="s">
        <v>67</v>
      </c>
      <c r="C132" s="738"/>
      <c r="D132" s="199"/>
      <c r="E132" s="207"/>
      <c r="F132" s="207">
        <v>0.1</v>
      </c>
      <c r="G132" s="218">
        <f>ROUND((H149*F132),2)</f>
        <v>7583.33</v>
      </c>
      <c r="H132" s="370"/>
      <c r="Q132"/>
      <c r="R132"/>
      <c r="S132"/>
      <c r="T132"/>
      <c r="U132"/>
      <c r="V132"/>
      <c r="W132"/>
      <c r="X132"/>
      <c r="Y132"/>
      <c r="Z132"/>
      <c r="AA132"/>
    </row>
    <row r="133" spans="1:27" ht="17.100000000000001" customHeight="1" x14ac:dyDescent="0.25">
      <c r="A133" s="199"/>
      <c r="B133" s="737" t="s">
        <v>376</v>
      </c>
      <c r="C133" s="738"/>
      <c r="D133" s="199" t="s">
        <v>332</v>
      </c>
      <c r="E133" s="207">
        <v>10000</v>
      </c>
      <c r="F133" s="207">
        <v>0.97</v>
      </c>
      <c r="G133" s="207">
        <f>E133*F133</f>
        <v>9700</v>
      </c>
      <c r="H133" s="370"/>
    </row>
    <row r="134" spans="1:27" ht="17.100000000000001" customHeight="1" x14ac:dyDescent="0.25">
      <c r="A134" s="199"/>
      <c r="B134" s="737" t="s">
        <v>413</v>
      </c>
      <c r="C134" s="738"/>
      <c r="D134" s="199" t="s">
        <v>332</v>
      </c>
      <c r="E134" s="207">
        <v>10000</v>
      </c>
      <c r="F134" s="207">
        <v>0.97</v>
      </c>
      <c r="G134" s="207">
        <f>E134*F134</f>
        <v>9700</v>
      </c>
      <c r="H134" s="370"/>
    </row>
    <row r="135" spans="1:27" ht="17.100000000000001" customHeight="1" x14ac:dyDescent="0.25">
      <c r="A135" s="248"/>
      <c r="E135" s="208" t="s">
        <v>36</v>
      </c>
      <c r="F135" s="208"/>
      <c r="G135" s="208"/>
      <c r="H135" s="370">
        <f>SUM(G132:G134)</f>
        <v>26983.33</v>
      </c>
    </row>
    <row r="136" spans="1:27" ht="17.100000000000001" customHeight="1" x14ac:dyDescent="0.25">
      <c r="A136" s="206" t="s">
        <v>37</v>
      </c>
      <c r="B136" s="704" t="s">
        <v>38</v>
      </c>
      <c r="C136" s="704"/>
      <c r="D136" s="704"/>
      <c r="E136" s="704"/>
      <c r="F136" s="704"/>
      <c r="G136" s="704"/>
      <c r="H136" s="370"/>
    </row>
    <row r="137" spans="1:27" ht="17.100000000000001" customHeight="1" x14ac:dyDescent="0.25">
      <c r="A137" s="225"/>
      <c r="B137" s="735" t="s">
        <v>31</v>
      </c>
      <c r="C137" s="736"/>
      <c r="D137" s="199" t="s">
        <v>12</v>
      </c>
      <c r="E137" s="209" t="s">
        <v>39</v>
      </c>
      <c r="F137" s="209" t="s">
        <v>40</v>
      </c>
      <c r="G137" s="209" t="s">
        <v>35</v>
      </c>
      <c r="H137" s="370"/>
    </row>
    <row r="138" spans="1:27" ht="17.100000000000001" customHeight="1" x14ac:dyDescent="0.25">
      <c r="A138" s="199"/>
      <c r="B138" s="741"/>
      <c r="C138" s="742"/>
      <c r="D138" s="417"/>
      <c r="E138" s="418"/>
      <c r="F138" s="419"/>
      <c r="G138" s="207">
        <f>ROUND((E138*F138),2)</f>
        <v>0</v>
      </c>
      <c r="H138" s="370"/>
    </row>
    <row r="139" spans="1:27" ht="17.100000000000001" customHeight="1" x14ac:dyDescent="0.25">
      <c r="A139" s="199"/>
      <c r="B139" s="737"/>
      <c r="C139" s="738"/>
      <c r="D139" s="225"/>
      <c r="E139" s="209"/>
      <c r="F139" s="420"/>
      <c r="G139" s="207">
        <f>ROUND((E139*F139),2)</f>
        <v>0</v>
      </c>
      <c r="H139" s="370"/>
    </row>
    <row r="140" spans="1:27" ht="17.100000000000001" customHeight="1" x14ac:dyDescent="0.25">
      <c r="A140" s="199"/>
      <c r="B140" s="737"/>
      <c r="C140" s="738"/>
      <c r="D140" s="231"/>
      <c r="E140" s="209"/>
      <c r="F140" s="421"/>
      <c r="G140" s="207">
        <f>ROUND((E140*F140),2)</f>
        <v>0</v>
      </c>
      <c r="H140" s="370"/>
    </row>
    <row r="141" spans="1:27" ht="17.100000000000001" customHeight="1" x14ac:dyDescent="0.25">
      <c r="A141" s="199"/>
      <c r="B141" s="737"/>
      <c r="C141" s="738"/>
      <c r="D141" s="231"/>
      <c r="E141" s="209"/>
      <c r="F141" s="421"/>
      <c r="G141" s="207">
        <f>ROUND((E141*F141),2)</f>
        <v>0</v>
      </c>
      <c r="H141" s="370"/>
    </row>
    <row r="142" spans="1:27" ht="17.100000000000001" customHeight="1" x14ac:dyDescent="0.25">
      <c r="A142" s="199"/>
      <c r="B142" s="737"/>
      <c r="C142" s="738"/>
      <c r="D142" s="422"/>
      <c r="E142" s="209"/>
      <c r="F142" s="421"/>
      <c r="G142" s="207">
        <f>ROUND((E142*F142),2)</f>
        <v>0</v>
      </c>
      <c r="H142" s="370"/>
    </row>
    <row r="143" spans="1:27" ht="17.100000000000001" customHeight="1" x14ac:dyDescent="0.25">
      <c r="A143" s="248" t="s">
        <v>41</v>
      </c>
      <c r="E143" s="208" t="s">
        <v>42</v>
      </c>
      <c r="F143" s="208"/>
      <c r="G143" s="208"/>
      <c r="H143" s="370">
        <f>(SUM(G138:G142))</f>
        <v>0</v>
      </c>
    </row>
    <row r="144" spans="1:27" ht="17.100000000000001" customHeight="1" x14ac:dyDescent="0.25">
      <c r="A144" s="206" t="s">
        <v>43</v>
      </c>
      <c r="B144" s="704" t="s">
        <v>44</v>
      </c>
      <c r="C144" s="704"/>
      <c r="D144" s="704"/>
      <c r="E144" s="704"/>
      <c r="F144" s="704"/>
      <c r="G144" s="704"/>
      <c r="H144" s="370"/>
    </row>
    <row r="145" spans="1:8" ht="17.100000000000001" customHeight="1" x14ac:dyDescent="0.25">
      <c r="A145" s="199" t="s">
        <v>45</v>
      </c>
      <c r="B145" s="225" t="s">
        <v>31</v>
      </c>
      <c r="C145" s="225" t="s">
        <v>46</v>
      </c>
      <c r="D145" s="225" t="s">
        <v>47</v>
      </c>
      <c r="E145" s="209" t="s">
        <v>48</v>
      </c>
      <c r="F145" s="207" t="s">
        <v>34</v>
      </c>
      <c r="G145" s="207" t="s">
        <v>35</v>
      </c>
      <c r="H145" s="370"/>
    </row>
    <row r="146" spans="1:8" ht="17.100000000000001" customHeight="1" x14ac:dyDescent="0.25">
      <c r="A146" s="199">
        <v>2</v>
      </c>
      <c r="B146" s="199" t="s">
        <v>189</v>
      </c>
      <c r="C146" s="211">
        <v>70000</v>
      </c>
      <c r="D146" s="212">
        <v>0.75</v>
      </c>
      <c r="E146" s="210">
        <f>+(A146*C146)+(A146*C146*D146)</f>
        <v>245000</v>
      </c>
      <c r="F146" s="423">
        <v>6</v>
      </c>
      <c r="G146" s="218">
        <f>ROUND(((E146)/(F146)),2)</f>
        <v>40833.33</v>
      </c>
      <c r="H146" s="370"/>
    </row>
    <row r="147" spans="1:8" ht="17.100000000000001" customHeight="1" x14ac:dyDescent="0.25">
      <c r="A147" s="199">
        <v>1</v>
      </c>
      <c r="B147" s="199" t="s">
        <v>233</v>
      </c>
      <c r="C147" s="211">
        <v>120000</v>
      </c>
      <c r="D147" s="212">
        <v>0.75</v>
      </c>
      <c r="E147" s="210">
        <f>+(A147*C147)+(A147*C147*D147)</f>
        <v>210000</v>
      </c>
      <c r="F147" s="423">
        <v>6</v>
      </c>
      <c r="G147" s="218">
        <f>ROUND(((E147)/(F147)),2)</f>
        <v>35000</v>
      </c>
      <c r="H147" s="370"/>
    </row>
    <row r="148" spans="1:8" ht="17.100000000000001" customHeight="1" x14ac:dyDescent="0.25">
      <c r="A148" s="199"/>
      <c r="B148" s="199"/>
      <c r="C148" s="199"/>
      <c r="D148" s="199"/>
      <c r="E148" s="207"/>
      <c r="F148" s="207"/>
      <c r="G148" s="207"/>
      <c r="H148" s="370"/>
    </row>
    <row r="149" spans="1:8" ht="17.100000000000001" customHeight="1" x14ac:dyDescent="0.25">
      <c r="A149" s="248"/>
      <c r="E149" s="208" t="s">
        <v>50</v>
      </c>
      <c r="F149" s="208"/>
      <c r="G149" s="208"/>
      <c r="H149" s="370">
        <f>SUM(G146)+(G147)</f>
        <v>75833.33</v>
      </c>
    </row>
    <row r="150" spans="1:8" ht="17.100000000000001" customHeight="1" x14ac:dyDescent="0.25">
      <c r="A150" s="206" t="s">
        <v>51</v>
      </c>
      <c r="B150" s="704" t="s">
        <v>18</v>
      </c>
      <c r="C150" s="704"/>
      <c r="D150" s="704"/>
      <c r="E150" s="704"/>
      <c r="F150" s="704"/>
      <c r="G150" s="704"/>
      <c r="H150" s="370"/>
    </row>
    <row r="151" spans="1:8" ht="17.100000000000001" customHeight="1" x14ac:dyDescent="0.25">
      <c r="A151" s="199"/>
      <c r="B151" s="199" t="s">
        <v>31</v>
      </c>
      <c r="C151" s="225" t="s">
        <v>12</v>
      </c>
      <c r="D151" s="225" t="s">
        <v>13</v>
      </c>
      <c r="E151" s="225" t="s">
        <v>52</v>
      </c>
      <c r="F151" s="225"/>
      <c r="G151" s="207" t="s">
        <v>53</v>
      </c>
      <c r="H151" s="370"/>
    </row>
    <row r="152" spans="1:8" ht="17.100000000000001" customHeight="1" x14ac:dyDescent="0.25">
      <c r="A152" s="199"/>
      <c r="B152" s="199"/>
      <c r="C152" s="214"/>
      <c r="D152" s="199"/>
      <c r="E152" s="207"/>
      <c r="F152" s="207"/>
      <c r="G152" s="207"/>
      <c r="H152" s="370"/>
    </row>
    <row r="153" spans="1:8" ht="17.100000000000001" customHeight="1" x14ac:dyDescent="0.25">
      <c r="A153" s="199"/>
      <c r="B153" s="199"/>
      <c r="C153" s="210"/>
      <c r="D153" s="199"/>
      <c r="E153" s="207"/>
      <c r="F153" s="207"/>
      <c r="G153" s="207"/>
      <c r="H153" s="370"/>
    </row>
    <row r="154" spans="1:8" ht="17.100000000000001" customHeight="1" x14ac:dyDescent="0.25">
      <c r="A154" s="199"/>
      <c r="B154" s="199"/>
      <c r="C154" s="199"/>
      <c r="D154" s="199"/>
      <c r="E154" s="207"/>
      <c r="F154" s="207"/>
      <c r="G154" s="207"/>
      <c r="H154" s="370"/>
    </row>
    <row r="155" spans="1:8" ht="17.100000000000001" customHeight="1" x14ac:dyDescent="0.25">
      <c r="A155" s="248"/>
      <c r="E155" s="208" t="s">
        <v>50</v>
      </c>
      <c r="F155" s="208"/>
      <c r="G155" s="208"/>
      <c r="H155" s="370">
        <f>ROUND(SUM(G152)+(G153),0)</f>
        <v>0</v>
      </c>
    </row>
    <row r="156" spans="1:8" ht="17.100000000000001" customHeight="1" x14ac:dyDescent="0.25">
      <c r="A156" s="247"/>
      <c r="E156" s="208"/>
      <c r="F156" s="208"/>
      <c r="G156" s="208"/>
      <c r="H156" s="370"/>
    </row>
    <row r="157" spans="1:8" ht="17.100000000000001" customHeight="1" x14ac:dyDescent="0.25">
      <c r="A157" s="247"/>
      <c r="D157" s="215" t="s">
        <v>54</v>
      </c>
      <c r="E157" s="216"/>
      <c r="F157" s="216"/>
      <c r="G157" s="216"/>
      <c r="H157" s="370">
        <f>ROUND((SUM(H135:H156)),2)</f>
        <v>102816.66</v>
      </c>
    </row>
    <row r="158" spans="1:8" ht="17.100000000000001" customHeight="1" x14ac:dyDescent="0.25">
      <c r="A158" s="247"/>
      <c r="E158" s="208"/>
      <c r="F158" s="208"/>
      <c r="G158" s="208"/>
      <c r="H158" s="370"/>
    </row>
    <row r="159" spans="1:8" ht="17.100000000000001" customHeight="1" x14ac:dyDescent="0.25">
      <c r="A159" s="206" t="s">
        <v>55</v>
      </c>
      <c r="B159" s="704" t="s">
        <v>56</v>
      </c>
      <c r="C159" s="704"/>
      <c r="D159" s="704"/>
      <c r="E159" s="704"/>
      <c r="F159" s="704"/>
      <c r="G159" s="704"/>
      <c r="H159" s="370"/>
    </row>
    <row r="160" spans="1:8" ht="17.100000000000001" customHeight="1" x14ac:dyDescent="0.25">
      <c r="A160" s="225"/>
      <c r="B160" s="225" t="s">
        <v>31</v>
      </c>
      <c r="C160" s="225" t="s">
        <v>57</v>
      </c>
      <c r="D160" s="199" t="s">
        <v>58</v>
      </c>
      <c r="E160" s="207"/>
      <c r="F160" s="207" t="s">
        <v>59</v>
      </c>
      <c r="G160" s="207"/>
      <c r="H160" s="370"/>
    </row>
    <row r="161" spans="1:8" ht="17.100000000000001" customHeight="1" x14ac:dyDescent="0.25">
      <c r="A161" s="199"/>
      <c r="B161" s="225" t="s">
        <v>60</v>
      </c>
      <c r="C161" s="212">
        <v>0.28000000000000003</v>
      </c>
      <c r="D161" s="199"/>
      <c r="E161" s="210"/>
      <c r="F161" s="199"/>
      <c r="G161" s="218">
        <f>ROUND((H157*C161),2)</f>
        <v>28788.66</v>
      </c>
      <c r="H161" s="370"/>
    </row>
    <row r="162" spans="1:8" ht="17.100000000000001" customHeight="1" x14ac:dyDescent="0.25">
      <c r="A162" s="199"/>
      <c r="B162" s="225" t="s">
        <v>61</v>
      </c>
      <c r="C162" s="212">
        <v>0.01</v>
      </c>
      <c r="D162" s="199"/>
      <c r="E162" s="210"/>
      <c r="F162" s="199"/>
      <c r="G162" s="218">
        <f>ROUND((H157*C162),2)</f>
        <v>1028.17</v>
      </c>
      <c r="H162" s="370"/>
    </row>
    <row r="163" spans="1:8" ht="17.100000000000001" customHeight="1" x14ac:dyDescent="0.25">
      <c r="A163" s="199"/>
      <c r="B163" s="225" t="s">
        <v>62</v>
      </c>
      <c r="C163" s="212">
        <v>0.03</v>
      </c>
      <c r="D163" s="199"/>
      <c r="E163" s="210"/>
      <c r="F163" s="199"/>
      <c r="G163" s="218">
        <f>ROUND((H157*C163),2)</f>
        <v>3084.5</v>
      </c>
      <c r="H163" s="370"/>
    </row>
    <row r="164" spans="1:8" ht="17.100000000000001" customHeight="1" x14ac:dyDescent="0.25">
      <c r="A164" s="247"/>
      <c r="D164" s="215" t="s">
        <v>63</v>
      </c>
      <c r="E164" s="216"/>
      <c r="F164" s="216"/>
      <c r="G164" s="216"/>
      <c r="H164" s="370">
        <f>SUM(G160:G163)</f>
        <v>32901.33</v>
      </c>
    </row>
    <row r="165" spans="1:8" ht="17.100000000000001" customHeight="1" x14ac:dyDescent="0.25">
      <c r="A165" s="247"/>
      <c r="E165" s="208"/>
      <c r="F165" s="208"/>
      <c r="G165" s="208"/>
      <c r="H165" s="370"/>
    </row>
    <row r="166" spans="1:8" ht="17.100000000000001" customHeight="1" x14ac:dyDescent="0.25">
      <c r="A166" s="247"/>
      <c r="D166" s="215" t="s">
        <v>64</v>
      </c>
      <c r="E166" s="216"/>
      <c r="F166" s="216"/>
      <c r="G166" s="208"/>
      <c r="H166" s="370">
        <f>H157+H164</f>
        <v>135717.99</v>
      </c>
    </row>
    <row r="167" spans="1:8" ht="17.100000000000001" customHeight="1" x14ac:dyDescent="0.25">
      <c r="A167" s="247"/>
      <c r="D167" s="215"/>
      <c r="E167" s="216"/>
      <c r="F167" s="216"/>
      <c r="G167" s="208"/>
      <c r="H167" s="370"/>
    </row>
    <row r="168" spans="1:8" ht="17.100000000000001" customHeight="1" x14ac:dyDescent="0.25">
      <c r="A168" s="205"/>
      <c r="B168" s="204"/>
      <c r="E168" s="219"/>
      <c r="F168" s="220"/>
      <c r="G168" s="203"/>
      <c r="H168" s="370"/>
    </row>
    <row r="169" spans="1:8" ht="17.100000000000001" customHeight="1" x14ac:dyDescent="0.25">
      <c r="A169" s="249" t="str">
        <f>+A111</f>
        <v>ING JHON ALEXANDER ARIAS</v>
      </c>
      <c r="B169" s="217"/>
      <c r="E169" s="216" t="str">
        <f>Presupuesto!D65</f>
        <v>ARQ. GUILLERMO YAMID VALLEJOS BENAVIDES</v>
      </c>
      <c r="F169" s="208"/>
      <c r="G169" s="208"/>
      <c r="H169" s="370"/>
    </row>
    <row r="170" spans="1:8" ht="16.5" customHeight="1" x14ac:dyDescent="0.25">
      <c r="A170" s="250" t="str">
        <f t="shared" ref="A170:A171" si="2">+A112</f>
        <v>APOYO PROFESIONAL SPOPM</v>
      </c>
      <c r="B170" s="217"/>
      <c r="E170" s="208" t="str">
        <f>Presupuesto!D66</f>
        <v>SECRETARIO DE PLANEACION Y OBRAS PUBLICAS</v>
      </c>
      <c r="F170" s="208"/>
      <c r="G170" s="208"/>
      <c r="H170" s="370"/>
    </row>
    <row r="171" spans="1:8" ht="17.100000000000001" customHeight="1" x14ac:dyDescent="0.25">
      <c r="A171" s="250" t="str">
        <f t="shared" si="2"/>
        <v>MP 111037-0703225 NRÑ</v>
      </c>
      <c r="B171" s="580"/>
      <c r="C171" s="579"/>
      <c r="D171" s="579"/>
      <c r="E171" s="208" t="str">
        <f>Presupuesto!D67</f>
        <v>SAN MIGUEL - PUTUMAYO</v>
      </c>
      <c r="F171" s="581"/>
      <c r="G171" s="581"/>
      <c r="H171" s="516"/>
    </row>
    <row r="172" spans="1:8" ht="17.100000000000001" customHeight="1" x14ac:dyDescent="0.25">
      <c r="A172" s="250"/>
      <c r="B172" s="217"/>
      <c r="D172" s="204"/>
      <c r="E172" s="203"/>
      <c r="F172" s="203"/>
      <c r="G172" s="203"/>
      <c r="H172" s="445"/>
    </row>
    <row r="173" spans="1:8" ht="16.5" customHeight="1" x14ac:dyDescent="0.25">
      <c r="B173" s="217"/>
      <c r="E173" s="208"/>
      <c r="F173" s="208"/>
      <c r="G173" s="208"/>
      <c r="H173" s="370"/>
    </row>
    <row r="174" spans="1:8" ht="17.100000000000001" customHeight="1" x14ac:dyDescent="0.3">
      <c r="A174" s="705"/>
      <c r="B174" s="706"/>
      <c r="C174" s="638" t="s">
        <v>224</v>
      </c>
      <c r="D174" s="625" t="s">
        <v>225</v>
      </c>
      <c r="E174" s="626"/>
      <c r="F174" s="275">
        <v>103</v>
      </c>
      <c r="G174" s="753"/>
      <c r="H174" s="754"/>
    </row>
    <row r="175" spans="1:8" ht="17.100000000000001" customHeight="1" x14ac:dyDescent="0.25">
      <c r="A175" s="707"/>
      <c r="B175" s="708"/>
      <c r="C175" s="639"/>
      <c r="D175" s="634" t="s">
        <v>195</v>
      </c>
      <c r="E175" s="635"/>
      <c r="F175" s="712">
        <v>51</v>
      </c>
      <c r="G175" s="755"/>
      <c r="H175" s="756"/>
    </row>
    <row r="176" spans="1:8" ht="17.100000000000001" customHeight="1" x14ac:dyDescent="0.25">
      <c r="A176" s="707"/>
      <c r="B176" s="708"/>
      <c r="C176" s="307" t="s">
        <v>196</v>
      </c>
      <c r="D176" s="636"/>
      <c r="E176" s="637"/>
      <c r="F176" s="713"/>
      <c r="G176" s="755"/>
      <c r="H176" s="756"/>
    </row>
    <row r="177" spans="1:8" ht="17.100000000000001" customHeight="1" x14ac:dyDescent="0.25">
      <c r="A177" s="707"/>
      <c r="B177" s="708"/>
      <c r="C177" s="308" t="s">
        <v>197</v>
      </c>
      <c r="D177" s="640" t="s">
        <v>198</v>
      </c>
      <c r="E177" s="641"/>
      <c r="F177" s="309">
        <v>1</v>
      </c>
      <c r="G177" s="755"/>
      <c r="H177" s="756"/>
    </row>
    <row r="178" spans="1:8" ht="24.6" customHeight="1" x14ac:dyDescent="0.25">
      <c r="A178" s="707"/>
      <c r="B178" s="708"/>
      <c r="C178" s="714" t="s">
        <v>199</v>
      </c>
      <c r="D178" s="716" t="s">
        <v>200</v>
      </c>
      <c r="E178" s="717"/>
      <c r="F178" s="307" t="s">
        <v>201</v>
      </c>
      <c r="G178" s="755"/>
      <c r="H178" s="756"/>
    </row>
    <row r="179" spans="1:8" ht="17.100000000000001" customHeight="1" x14ac:dyDescent="0.25">
      <c r="A179" s="709"/>
      <c r="B179" s="710"/>
      <c r="C179" s="715"/>
      <c r="D179" s="718"/>
      <c r="E179" s="719"/>
      <c r="F179" s="310">
        <v>44216</v>
      </c>
      <c r="G179" s="757"/>
      <c r="H179" s="758"/>
    </row>
    <row r="180" spans="1:8" ht="17.100000000000001" customHeight="1" x14ac:dyDescent="0.25">
      <c r="A180" s="759"/>
      <c r="B180" s="760"/>
      <c r="C180" s="760"/>
      <c r="D180" s="760"/>
      <c r="E180" s="760"/>
      <c r="F180" s="760"/>
      <c r="G180" s="760"/>
      <c r="H180" s="761"/>
    </row>
    <row r="181" spans="1:8" ht="24.75" customHeight="1" x14ac:dyDescent="0.25">
      <c r="A181" s="720" t="str">
        <f>A123</f>
        <v>ADECUACION Y MEJORAMIENTO DE AULAS ESCOLARES UBICADA EN LA INSTITUCION EDUCATIVA TECNICO COMERCIAL LA DORADA SEDE ESCUELA CENTRAL DEL MUNICIPIO DE SAN MIGUEL PUTUMAYO</v>
      </c>
      <c r="B181" s="721"/>
      <c r="C181" s="721"/>
      <c r="D181" s="721"/>
      <c r="E181" s="721"/>
      <c r="F181" s="721"/>
      <c r="G181" s="721"/>
      <c r="H181" s="722"/>
    </row>
    <row r="182" spans="1:8" ht="37.200000000000003" customHeight="1" thickBot="1" x14ac:dyDescent="0.3">
      <c r="A182" s="720"/>
      <c r="B182" s="721"/>
      <c r="C182" s="721"/>
      <c r="D182" s="721"/>
      <c r="E182" s="721"/>
      <c r="F182" s="721"/>
      <c r="G182" s="721"/>
      <c r="H182" s="722"/>
    </row>
    <row r="183" spans="1:8" ht="17.100000000000001" customHeight="1" thickBot="1" x14ac:dyDescent="0.3">
      <c r="A183" s="351">
        <f>Presupuesto!A18</f>
        <v>1.4</v>
      </c>
      <c r="B183" s="732" t="str">
        <f>Presupuesto!B18</f>
        <v>DESMONTE DE CUBIERTA EXISTENTE</v>
      </c>
      <c r="C183" s="733"/>
      <c r="D183" s="733"/>
      <c r="E183" s="733"/>
      <c r="F183" s="734"/>
      <c r="G183" s="352" t="s">
        <v>28</v>
      </c>
      <c r="H183" s="444" t="str">
        <f>Presupuesto!D18</f>
        <v>M2</v>
      </c>
    </row>
    <row r="184" spans="1:8" ht="17.100000000000001" customHeight="1" x14ac:dyDescent="0.25">
      <c r="A184" s="247"/>
      <c r="H184" s="370"/>
    </row>
    <row r="185" spans="1:8" ht="17.100000000000001" customHeight="1" x14ac:dyDescent="0.25">
      <c r="A185" s="206" t="s">
        <v>29</v>
      </c>
      <c r="B185" s="764" t="s">
        <v>30</v>
      </c>
      <c r="C185" s="765"/>
      <c r="D185" s="765"/>
      <c r="E185" s="765"/>
      <c r="F185" s="765"/>
      <c r="G185" s="766"/>
      <c r="H185" s="370"/>
    </row>
    <row r="186" spans="1:8" ht="17.100000000000001" customHeight="1" x14ac:dyDescent="0.25">
      <c r="A186" s="225"/>
      <c r="B186" s="735" t="s">
        <v>31</v>
      </c>
      <c r="C186" s="736"/>
      <c r="D186" s="225" t="s">
        <v>32</v>
      </c>
      <c r="E186" s="225" t="s">
        <v>33</v>
      </c>
      <c r="F186" s="225" t="s">
        <v>34</v>
      </c>
      <c r="G186" s="225" t="s">
        <v>35</v>
      </c>
      <c r="H186" s="370"/>
    </row>
    <row r="187" spans="1:8" ht="17.100000000000001" customHeight="1" x14ac:dyDescent="0.25">
      <c r="A187" s="199"/>
      <c r="B187" s="735" t="s">
        <v>67</v>
      </c>
      <c r="C187" s="736"/>
      <c r="D187" s="199"/>
      <c r="E187" s="207"/>
      <c r="F187" s="425">
        <v>0.1</v>
      </c>
      <c r="G187" s="218">
        <f>ROUND((H204*F187),2)</f>
        <v>910</v>
      </c>
      <c r="H187" s="370"/>
    </row>
    <row r="188" spans="1:8" ht="17.100000000000001" customHeight="1" x14ac:dyDescent="0.25">
      <c r="A188" s="199"/>
      <c r="B188" s="735" t="s">
        <v>281</v>
      </c>
      <c r="C188" s="736"/>
      <c r="D188" s="199" t="s">
        <v>277</v>
      </c>
      <c r="E188" s="207">
        <v>5200</v>
      </c>
      <c r="F188" s="207">
        <v>2</v>
      </c>
      <c r="G188" s="207">
        <f>ROUND((E188*F188),2)</f>
        <v>10400</v>
      </c>
      <c r="H188" s="370"/>
    </row>
    <row r="189" spans="1:8" ht="17.100000000000001" customHeight="1" x14ac:dyDescent="0.25">
      <c r="A189" s="199"/>
      <c r="B189" s="735"/>
      <c r="C189" s="736"/>
      <c r="D189" s="199"/>
      <c r="E189" s="207"/>
      <c r="F189" s="207"/>
      <c r="G189" s="207"/>
      <c r="H189" s="370"/>
    </row>
    <row r="190" spans="1:8" ht="17.100000000000001" customHeight="1" x14ac:dyDescent="0.25">
      <c r="A190" s="248"/>
      <c r="E190" s="208" t="s">
        <v>36</v>
      </c>
      <c r="F190" s="208"/>
      <c r="G190" s="208"/>
      <c r="H190" s="370">
        <f>SUM(G187:G189)</f>
        <v>11310</v>
      </c>
    </row>
    <row r="191" spans="1:8" ht="17.100000000000001" customHeight="1" x14ac:dyDescent="0.25">
      <c r="A191" s="206" t="s">
        <v>37</v>
      </c>
      <c r="B191" s="764" t="s">
        <v>38</v>
      </c>
      <c r="C191" s="765"/>
      <c r="D191" s="765"/>
      <c r="E191" s="765"/>
      <c r="F191" s="765"/>
      <c r="G191" s="766"/>
      <c r="H191" s="370"/>
    </row>
    <row r="192" spans="1:8" ht="17.100000000000001" customHeight="1" x14ac:dyDescent="0.25">
      <c r="A192" s="225"/>
      <c r="B192" s="735" t="s">
        <v>31</v>
      </c>
      <c r="C192" s="736"/>
      <c r="D192" s="199" t="s">
        <v>12</v>
      </c>
      <c r="E192" s="209" t="s">
        <v>39</v>
      </c>
      <c r="F192" s="209" t="s">
        <v>40</v>
      </c>
      <c r="G192" s="209" t="s">
        <v>35</v>
      </c>
      <c r="H192" s="370"/>
    </row>
    <row r="193" spans="1:8" ht="17.100000000000001" customHeight="1" x14ac:dyDescent="0.25">
      <c r="A193" s="199"/>
      <c r="B193" s="770"/>
      <c r="C193" s="771"/>
      <c r="D193" s="365"/>
      <c r="E193" s="366"/>
      <c r="F193" s="424"/>
      <c r="G193" s="207">
        <f>ROUND((E193*F193),2)</f>
        <v>0</v>
      </c>
      <c r="H193" s="370"/>
    </row>
    <row r="194" spans="1:8" ht="17.100000000000001" customHeight="1" x14ac:dyDescent="0.25">
      <c r="A194" s="199"/>
      <c r="B194" s="770"/>
      <c r="C194" s="771"/>
      <c r="D194" s="365"/>
      <c r="E194" s="365"/>
      <c r="F194" s="424"/>
      <c r="G194" s="207">
        <f>ROUND((E194*F194),2)</f>
        <v>0</v>
      </c>
      <c r="H194" s="370"/>
    </row>
    <row r="195" spans="1:8" ht="17.100000000000001" customHeight="1" x14ac:dyDescent="0.25">
      <c r="A195" s="199"/>
      <c r="B195" s="739"/>
      <c r="C195" s="740"/>
      <c r="D195" s="365"/>
      <c r="E195" s="367"/>
      <c r="F195" s="368"/>
      <c r="G195" s="207"/>
      <c r="H195" s="370"/>
    </row>
    <row r="196" spans="1:8" ht="17.100000000000001" customHeight="1" x14ac:dyDescent="0.25">
      <c r="A196" s="199"/>
      <c r="B196" s="739"/>
      <c r="C196" s="740"/>
      <c r="D196" s="366"/>
      <c r="E196" s="367"/>
      <c r="F196" s="368"/>
      <c r="G196" s="207"/>
      <c r="H196" s="370"/>
    </row>
    <row r="197" spans="1:8" ht="17.100000000000001" customHeight="1" x14ac:dyDescent="0.25">
      <c r="A197" s="199"/>
      <c r="B197" s="746"/>
      <c r="C197" s="747"/>
      <c r="D197" s="199"/>
      <c r="E197" s="207"/>
      <c r="F197" s="207"/>
      <c r="G197" s="207"/>
      <c r="H197" s="370"/>
    </row>
    <row r="198" spans="1:8" ht="17.100000000000001" customHeight="1" x14ac:dyDescent="0.25">
      <c r="A198" s="248" t="s">
        <v>41</v>
      </c>
      <c r="E198" s="208" t="s">
        <v>42</v>
      </c>
      <c r="F198" s="208"/>
      <c r="G198" s="208"/>
      <c r="H198" s="370">
        <f>(SUM(G193:G196))</f>
        <v>0</v>
      </c>
    </row>
    <row r="199" spans="1:8" ht="17.100000000000001" customHeight="1" x14ac:dyDescent="0.25">
      <c r="A199" s="206" t="s">
        <v>43</v>
      </c>
      <c r="B199" s="764" t="s">
        <v>44</v>
      </c>
      <c r="C199" s="765"/>
      <c r="D199" s="765"/>
      <c r="E199" s="765"/>
      <c r="F199" s="765"/>
      <c r="G199" s="766"/>
      <c r="H199" s="370"/>
    </row>
    <row r="200" spans="1:8" ht="17.100000000000001" customHeight="1" x14ac:dyDescent="0.25">
      <c r="A200" s="199" t="s">
        <v>45</v>
      </c>
      <c r="B200" s="225" t="s">
        <v>31</v>
      </c>
      <c r="C200" s="225" t="s">
        <v>46</v>
      </c>
      <c r="D200" s="225" t="s">
        <v>47</v>
      </c>
      <c r="E200" s="209" t="s">
        <v>48</v>
      </c>
      <c r="F200" s="207" t="s">
        <v>34</v>
      </c>
      <c r="G200" s="207" t="s">
        <v>35</v>
      </c>
      <c r="H200" s="370"/>
    </row>
    <row r="201" spans="1:8" ht="17.100000000000001" customHeight="1" x14ac:dyDescent="0.25">
      <c r="A201" s="199">
        <v>2</v>
      </c>
      <c r="B201" s="199" t="s">
        <v>189</v>
      </c>
      <c r="C201" s="211">
        <v>70000</v>
      </c>
      <c r="D201" s="212">
        <v>0.75</v>
      </c>
      <c r="E201" s="210">
        <f>+(A201*C201)+(A201*C201*D201)</f>
        <v>245000</v>
      </c>
      <c r="F201" s="213">
        <v>50</v>
      </c>
      <c r="G201" s="218">
        <f>ROUND(((E201)/(F201)),2)</f>
        <v>4900</v>
      </c>
      <c r="H201" s="370"/>
    </row>
    <row r="202" spans="1:8" ht="17.100000000000001" customHeight="1" x14ac:dyDescent="0.25">
      <c r="A202" s="199">
        <v>1</v>
      </c>
      <c r="B202" s="199" t="s">
        <v>233</v>
      </c>
      <c r="C202" s="211">
        <v>120000</v>
      </c>
      <c r="D202" s="212">
        <v>0.75</v>
      </c>
      <c r="E202" s="210">
        <f>+(A202*C202)+(A202*C202*D202)</f>
        <v>210000</v>
      </c>
      <c r="F202" s="213">
        <v>50</v>
      </c>
      <c r="G202" s="218">
        <f>ROUND(((E202)/(F202)),2)</f>
        <v>4200</v>
      </c>
      <c r="H202" s="370"/>
    </row>
    <row r="203" spans="1:8" ht="17.100000000000001" customHeight="1" x14ac:dyDescent="0.25">
      <c r="A203" s="199"/>
      <c r="B203" s="199"/>
      <c r="C203" s="199"/>
      <c r="D203" s="199"/>
      <c r="E203" s="207"/>
      <c r="F203" s="207"/>
      <c r="G203" s="207"/>
      <c r="H203" s="370"/>
    </row>
    <row r="204" spans="1:8" ht="17.100000000000001" customHeight="1" x14ac:dyDescent="0.25">
      <c r="A204" s="248"/>
      <c r="E204" s="208" t="s">
        <v>50</v>
      </c>
      <c r="F204" s="208"/>
      <c r="G204" s="208"/>
      <c r="H204" s="370">
        <f>SUM(G201)+(G202)</f>
        <v>9100</v>
      </c>
    </row>
    <row r="205" spans="1:8" ht="17.100000000000001" customHeight="1" x14ac:dyDescent="0.25">
      <c r="A205" s="206" t="s">
        <v>51</v>
      </c>
      <c r="B205" s="764" t="s">
        <v>18</v>
      </c>
      <c r="C205" s="765"/>
      <c r="D205" s="765"/>
      <c r="E205" s="765"/>
      <c r="F205" s="765"/>
      <c r="G205" s="766"/>
      <c r="H205" s="370"/>
    </row>
    <row r="206" spans="1:8" ht="17.100000000000001" customHeight="1" x14ac:dyDescent="0.25">
      <c r="A206" s="199"/>
      <c r="B206" s="199" t="s">
        <v>31</v>
      </c>
      <c r="C206" s="225" t="s">
        <v>12</v>
      </c>
      <c r="D206" s="225" t="s">
        <v>13</v>
      </c>
      <c r="E206" s="225" t="s">
        <v>52</v>
      </c>
      <c r="F206" s="225"/>
      <c r="G206" s="207" t="s">
        <v>53</v>
      </c>
      <c r="H206" s="370"/>
    </row>
    <row r="207" spans="1:8" ht="17.100000000000001" customHeight="1" x14ac:dyDescent="0.25">
      <c r="A207" s="199"/>
      <c r="B207" s="199"/>
      <c r="C207" s="214"/>
      <c r="D207" s="199"/>
      <c r="E207" s="207"/>
      <c r="F207" s="207"/>
      <c r="G207" s="207"/>
      <c r="H207" s="370"/>
    </row>
    <row r="208" spans="1:8" ht="17.100000000000001" customHeight="1" x14ac:dyDescent="0.25">
      <c r="A208" s="199"/>
      <c r="B208" s="199"/>
      <c r="C208" s="210"/>
      <c r="D208" s="199"/>
      <c r="E208" s="207"/>
      <c r="F208" s="207"/>
      <c r="G208" s="207"/>
      <c r="H208" s="370"/>
    </row>
    <row r="209" spans="1:8" ht="17.100000000000001" customHeight="1" x14ac:dyDescent="0.25">
      <c r="A209" s="199"/>
      <c r="B209" s="199"/>
      <c r="C209" s="199"/>
      <c r="D209" s="199"/>
      <c r="E209" s="207"/>
      <c r="F209" s="207"/>
      <c r="G209" s="207"/>
      <c r="H209" s="370"/>
    </row>
    <row r="210" spans="1:8" ht="17.100000000000001" customHeight="1" x14ac:dyDescent="0.25">
      <c r="A210" s="248"/>
      <c r="E210" s="208" t="s">
        <v>50</v>
      </c>
      <c r="F210" s="208"/>
      <c r="G210" s="208"/>
      <c r="H210" s="370">
        <f>ROUND(SUM(G207)+(G208),0)</f>
        <v>0</v>
      </c>
    </row>
    <row r="211" spans="1:8" ht="17.100000000000001" customHeight="1" x14ac:dyDescent="0.25">
      <c r="A211" s="247"/>
      <c r="E211" s="208"/>
      <c r="F211" s="208"/>
      <c r="G211" s="208"/>
      <c r="H211" s="370"/>
    </row>
    <row r="212" spans="1:8" ht="17.100000000000001" customHeight="1" x14ac:dyDescent="0.25">
      <c r="A212" s="247"/>
      <c r="D212" s="215" t="s">
        <v>54</v>
      </c>
      <c r="E212" s="216"/>
      <c r="F212" s="216"/>
      <c r="G212" s="216"/>
      <c r="H212" s="370">
        <f>ROUND((SUM(H190:H211)),2)</f>
        <v>20410</v>
      </c>
    </row>
    <row r="213" spans="1:8" ht="17.100000000000001" customHeight="1" x14ac:dyDescent="0.25">
      <c r="A213" s="247"/>
      <c r="E213" s="208"/>
      <c r="F213" s="208"/>
      <c r="G213" s="208"/>
      <c r="H213" s="370"/>
    </row>
    <row r="214" spans="1:8" ht="17.100000000000001" customHeight="1" x14ac:dyDescent="0.25">
      <c r="A214" s="206" t="s">
        <v>55</v>
      </c>
      <c r="B214" s="764" t="s">
        <v>56</v>
      </c>
      <c r="C214" s="765"/>
      <c r="D214" s="765"/>
      <c r="E214" s="765"/>
      <c r="F214" s="765"/>
      <c r="G214" s="766"/>
      <c r="H214" s="370"/>
    </row>
    <row r="215" spans="1:8" ht="17.100000000000001" customHeight="1" x14ac:dyDescent="0.25">
      <c r="A215" s="225"/>
      <c r="B215" s="225" t="s">
        <v>31</v>
      </c>
      <c r="C215" s="225" t="s">
        <v>57</v>
      </c>
      <c r="D215" s="199" t="s">
        <v>58</v>
      </c>
      <c r="E215" s="207"/>
      <c r="F215" s="207" t="s">
        <v>59</v>
      </c>
      <c r="G215" s="207"/>
      <c r="H215" s="370"/>
    </row>
    <row r="216" spans="1:8" ht="17.100000000000001" customHeight="1" x14ac:dyDescent="0.25">
      <c r="A216" s="199"/>
      <c r="B216" s="225" t="s">
        <v>60</v>
      </c>
      <c r="C216" s="212">
        <v>0.28000000000000003</v>
      </c>
      <c r="D216" s="199"/>
      <c r="E216" s="210"/>
      <c r="F216" s="199"/>
      <c r="G216" s="218">
        <f>ROUND((H212*C216),2)</f>
        <v>5714.8</v>
      </c>
      <c r="H216" s="370"/>
    </row>
    <row r="217" spans="1:8" ht="17.100000000000001" customHeight="1" x14ac:dyDescent="0.25">
      <c r="A217" s="199"/>
      <c r="B217" s="225" t="s">
        <v>61</v>
      </c>
      <c r="C217" s="212">
        <v>0.01</v>
      </c>
      <c r="D217" s="199"/>
      <c r="E217" s="210"/>
      <c r="F217" s="199"/>
      <c r="G217" s="218">
        <f>ROUND((H212*C217),2)</f>
        <v>204.1</v>
      </c>
      <c r="H217" s="370"/>
    </row>
    <row r="218" spans="1:8" ht="17.100000000000001" customHeight="1" x14ac:dyDescent="0.25">
      <c r="A218" s="199"/>
      <c r="B218" s="225" t="s">
        <v>62</v>
      </c>
      <c r="C218" s="212">
        <v>0.03</v>
      </c>
      <c r="D218" s="199"/>
      <c r="E218" s="210"/>
      <c r="F218" s="199"/>
      <c r="G218" s="218">
        <f>ROUND((H212*C218),2)</f>
        <v>612.29999999999995</v>
      </c>
      <c r="H218" s="370"/>
    </row>
    <row r="219" spans="1:8" ht="17.100000000000001" customHeight="1" x14ac:dyDescent="0.25">
      <c r="A219" s="247"/>
      <c r="D219" s="215" t="s">
        <v>63</v>
      </c>
      <c r="E219" s="216"/>
      <c r="F219" s="216"/>
      <c r="G219" s="216"/>
      <c r="H219" s="370">
        <f>SUM(G215:G218)</f>
        <v>6531.2000000000007</v>
      </c>
    </row>
    <row r="220" spans="1:8" ht="17.100000000000001" customHeight="1" x14ac:dyDescent="0.25">
      <c r="A220" s="247"/>
      <c r="E220" s="208"/>
      <c r="F220" s="208"/>
      <c r="G220" s="208"/>
      <c r="H220" s="370"/>
    </row>
    <row r="221" spans="1:8" ht="17.100000000000001" customHeight="1" x14ac:dyDescent="0.25">
      <c r="A221" s="247"/>
      <c r="D221" s="215" t="s">
        <v>64</v>
      </c>
      <c r="E221" s="216"/>
      <c r="F221" s="216"/>
      <c r="G221" s="208"/>
      <c r="H221" s="370">
        <f>H212+H219</f>
        <v>26941.200000000001</v>
      </c>
    </row>
    <row r="222" spans="1:8" ht="17.100000000000001" customHeight="1" x14ac:dyDescent="0.25">
      <c r="A222" s="247"/>
      <c r="D222" s="215"/>
      <c r="E222" s="216"/>
      <c r="F222" s="216"/>
      <c r="G222" s="208"/>
      <c r="H222" s="370"/>
    </row>
    <row r="223" spans="1:8" ht="17.100000000000001" customHeight="1" x14ac:dyDescent="0.25">
      <c r="A223" s="247"/>
      <c r="E223" s="216"/>
      <c r="F223" s="216"/>
      <c r="G223" s="208"/>
      <c r="H223" s="370"/>
    </row>
    <row r="224" spans="1:8" ht="17.100000000000001" customHeight="1" x14ac:dyDescent="0.25">
      <c r="A224" s="205"/>
      <c r="B224" s="204"/>
      <c r="E224" s="219"/>
      <c r="F224" s="220"/>
      <c r="G224" s="203"/>
      <c r="H224" s="370"/>
    </row>
    <row r="225" spans="1:27" ht="17.100000000000001" customHeight="1" x14ac:dyDescent="0.25">
      <c r="A225" s="249" t="str">
        <f>+A169</f>
        <v>ING JHON ALEXANDER ARIAS</v>
      </c>
      <c r="B225" s="217"/>
      <c r="E225" s="223" t="str">
        <f>Presupuesto!D65</f>
        <v>ARQ. GUILLERMO YAMID VALLEJOS BENAVIDES</v>
      </c>
      <c r="F225" s="217"/>
      <c r="G225" s="217"/>
      <c r="H225" s="370"/>
    </row>
    <row r="226" spans="1:27" ht="17.100000000000001" customHeight="1" x14ac:dyDescent="0.25">
      <c r="A226" s="250" t="str">
        <f t="shared" ref="A226:A227" si="3">+A170</f>
        <v>APOYO PROFESIONAL SPOPM</v>
      </c>
      <c r="B226" s="217"/>
      <c r="E226" s="217" t="str">
        <f>Presupuesto!D66</f>
        <v>SECRETARIO DE PLANEACION Y OBRAS PUBLICAS</v>
      </c>
      <c r="F226" s="217"/>
      <c r="G226" s="217"/>
      <c r="H226" s="370"/>
    </row>
    <row r="227" spans="1:27" ht="17.100000000000001" customHeight="1" x14ac:dyDescent="0.25">
      <c r="A227" s="250" t="str">
        <f t="shared" si="3"/>
        <v>MP 111037-0703225 NRÑ</v>
      </c>
      <c r="B227" s="580"/>
      <c r="C227" s="579"/>
      <c r="D227" s="579"/>
      <c r="E227" s="217" t="str">
        <f>Presupuesto!D67</f>
        <v>SAN MIGUEL - PUTUMAYO</v>
      </c>
      <c r="F227" s="580"/>
      <c r="G227" s="580"/>
      <c r="H227" s="516"/>
    </row>
    <row r="228" spans="1:27" ht="16.5" customHeight="1" x14ac:dyDescent="0.25">
      <c r="B228" s="217"/>
      <c r="E228" s="208"/>
      <c r="F228" s="208"/>
      <c r="G228" s="208"/>
      <c r="H228" s="370"/>
    </row>
    <row r="229" spans="1:27" ht="16.5" customHeight="1" x14ac:dyDescent="0.25">
      <c r="B229" s="217"/>
      <c r="E229" s="208"/>
      <c r="F229" s="208"/>
      <c r="G229" s="208"/>
      <c r="H229" s="370"/>
    </row>
    <row r="230" spans="1:27" ht="17.100000000000001" customHeight="1" x14ac:dyDescent="0.3">
      <c r="A230" s="705"/>
      <c r="B230" s="706"/>
      <c r="C230" s="638" t="s">
        <v>224</v>
      </c>
      <c r="D230" s="625" t="s">
        <v>225</v>
      </c>
      <c r="E230" s="626"/>
      <c r="F230" s="275">
        <v>103</v>
      </c>
      <c r="G230" s="711"/>
      <c r="H230" s="711"/>
      <c r="Q230"/>
      <c r="R230"/>
      <c r="S230"/>
      <c r="T230"/>
      <c r="U230"/>
      <c r="V230"/>
      <c r="W230"/>
      <c r="X230"/>
      <c r="Y230"/>
      <c r="Z230"/>
      <c r="AA230"/>
    </row>
    <row r="231" spans="1:27" ht="17.100000000000001" customHeight="1" x14ac:dyDescent="0.3">
      <c r="A231" s="707"/>
      <c r="B231" s="708"/>
      <c r="C231" s="639"/>
      <c r="D231" s="634" t="s">
        <v>195</v>
      </c>
      <c r="E231" s="635"/>
      <c r="F231" s="712">
        <v>51</v>
      </c>
      <c r="G231" s="711"/>
      <c r="H231" s="711"/>
      <c r="Q231"/>
      <c r="R231"/>
      <c r="S231"/>
      <c r="T231"/>
      <c r="U231"/>
      <c r="V231"/>
      <c r="W231"/>
      <c r="X231"/>
      <c r="Y231"/>
      <c r="Z231"/>
      <c r="AA231"/>
    </row>
    <row r="232" spans="1:27" ht="17.100000000000001" customHeight="1" x14ac:dyDescent="0.3">
      <c r="A232" s="707"/>
      <c r="B232" s="708"/>
      <c r="C232" s="307" t="s">
        <v>196</v>
      </c>
      <c r="D232" s="636"/>
      <c r="E232" s="637"/>
      <c r="F232" s="713"/>
      <c r="G232" s="711"/>
      <c r="H232" s="711"/>
      <c r="Q232"/>
      <c r="R232"/>
      <c r="S232"/>
      <c r="T232"/>
      <c r="U232"/>
      <c r="V232"/>
      <c r="W232"/>
      <c r="X232"/>
      <c r="Y232"/>
      <c r="Z232"/>
      <c r="AA232"/>
    </row>
    <row r="233" spans="1:27" ht="17.100000000000001" customHeight="1" x14ac:dyDescent="0.3">
      <c r="A233" s="707"/>
      <c r="B233" s="708"/>
      <c r="C233" s="308" t="s">
        <v>197</v>
      </c>
      <c r="D233" s="640" t="s">
        <v>198</v>
      </c>
      <c r="E233" s="641"/>
      <c r="F233" s="309">
        <v>1</v>
      </c>
      <c r="G233" s="711"/>
      <c r="H233" s="711"/>
      <c r="Q233"/>
      <c r="R233"/>
      <c r="S233"/>
      <c r="T233"/>
      <c r="U233"/>
      <c r="V233"/>
      <c r="W233"/>
      <c r="X233"/>
      <c r="Y233"/>
      <c r="Z233"/>
      <c r="AA233"/>
    </row>
    <row r="234" spans="1:27" ht="14.4" x14ac:dyDescent="0.3">
      <c r="A234" s="707"/>
      <c r="B234" s="708"/>
      <c r="C234" s="714" t="s">
        <v>199</v>
      </c>
      <c r="D234" s="716" t="s">
        <v>200</v>
      </c>
      <c r="E234" s="717"/>
      <c r="F234" s="307" t="s">
        <v>201</v>
      </c>
      <c r="G234" s="711"/>
      <c r="H234" s="711"/>
      <c r="Q234"/>
      <c r="R234"/>
      <c r="S234"/>
      <c r="T234"/>
      <c r="U234"/>
      <c r="V234"/>
      <c r="W234"/>
      <c r="X234"/>
      <c r="Y234"/>
      <c r="Z234"/>
      <c r="AA234"/>
    </row>
    <row r="235" spans="1:27" ht="17.100000000000001" customHeight="1" x14ac:dyDescent="0.3">
      <c r="A235" s="709"/>
      <c r="B235" s="710"/>
      <c r="C235" s="715"/>
      <c r="D235" s="718"/>
      <c r="E235" s="719"/>
      <c r="F235" s="310">
        <v>44216</v>
      </c>
      <c r="G235" s="711"/>
      <c r="H235" s="711"/>
      <c r="Q235"/>
      <c r="R235"/>
      <c r="S235"/>
      <c r="T235"/>
      <c r="U235"/>
      <c r="V235"/>
      <c r="W235"/>
      <c r="X235"/>
      <c r="Y235"/>
      <c r="Z235"/>
      <c r="AA235"/>
    </row>
    <row r="236" spans="1:27" ht="17.100000000000001" customHeight="1" thickBot="1" x14ac:dyDescent="0.35">
      <c r="A236" s="720"/>
      <c r="B236" s="721"/>
      <c r="C236" s="721"/>
      <c r="D236" s="721"/>
      <c r="E236" s="721"/>
      <c r="F236" s="721"/>
      <c r="G236" s="721"/>
      <c r="H236" s="722"/>
      <c r="Q236"/>
      <c r="R236"/>
      <c r="S236"/>
      <c r="T236"/>
      <c r="U236"/>
      <c r="V236"/>
      <c r="W236"/>
      <c r="X236"/>
      <c r="Y236"/>
      <c r="Z236"/>
      <c r="AA236"/>
    </row>
    <row r="237" spans="1:27" ht="24.75" customHeight="1" x14ac:dyDescent="0.3">
      <c r="A237" s="723" t="str">
        <f>Presupuesto!B19</f>
        <v>DEMOLICION MANUAL LOSA EN CONCRETO DE AULA 1</v>
      </c>
      <c r="B237" s="724"/>
      <c r="C237" s="724"/>
      <c r="D237" s="724"/>
      <c r="E237" s="724"/>
      <c r="F237" s="724"/>
      <c r="G237" s="724"/>
      <c r="H237" s="725"/>
      <c r="Q237"/>
      <c r="R237"/>
      <c r="S237"/>
      <c r="T237"/>
      <c r="U237"/>
      <c r="V237"/>
      <c r="W237"/>
      <c r="X237"/>
      <c r="Y237"/>
      <c r="Z237"/>
      <c r="AA237"/>
    </row>
    <row r="238" spans="1:27" ht="18" customHeight="1" thickBot="1" x14ac:dyDescent="0.35">
      <c r="A238" s="726"/>
      <c r="B238" s="727"/>
      <c r="C238" s="727"/>
      <c r="D238" s="727"/>
      <c r="E238" s="727"/>
      <c r="F238" s="727"/>
      <c r="G238" s="727"/>
      <c r="H238" s="728"/>
      <c r="Q238"/>
      <c r="R238"/>
      <c r="S238"/>
      <c r="T238"/>
      <c r="U238"/>
      <c r="V238"/>
      <c r="W238"/>
      <c r="X238"/>
      <c r="Y238"/>
      <c r="Z238"/>
      <c r="AA238"/>
    </row>
    <row r="239" spans="1:27" ht="17.100000000000001" customHeight="1" thickBot="1" x14ac:dyDescent="0.35">
      <c r="A239" s="273"/>
      <c r="B239" s="274"/>
      <c r="C239" s="274"/>
      <c r="D239" s="274"/>
      <c r="E239" s="274"/>
      <c r="F239" s="274"/>
      <c r="G239" s="274"/>
      <c r="H239" s="443"/>
      <c r="Q239"/>
      <c r="R239"/>
      <c r="S239"/>
      <c r="T239"/>
      <c r="U239"/>
      <c r="V239"/>
      <c r="W239"/>
      <c r="X239"/>
      <c r="Y239"/>
      <c r="Z239"/>
      <c r="AA239"/>
    </row>
    <row r="240" spans="1:27" ht="17.100000000000001" customHeight="1" thickBot="1" x14ac:dyDescent="0.35">
      <c r="A240" s="729" t="s">
        <v>26</v>
      </c>
      <c r="B240" s="730"/>
      <c r="C240" s="730"/>
      <c r="D240" s="730"/>
      <c r="E240" s="730"/>
      <c r="F240" s="730"/>
      <c r="G240" s="730"/>
      <c r="H240" s="731"/>
      <c r="Q240"/>
      <c r="R240"/>
      <c r="S240"/>
      <c r="T240"/>
      <c r="U240"/>
      <c r="V240"/>
      <c r="W240"/>
      <c r="X240"/>
      <c r="Y240"/>
      <c r="Z240"/>
      <c r="AA240"/>
    </row>
    <row r="241" spans="1:27" ht="17.100000000000001" customHeight="1" thickBot="1" x14ac:dyDescent="0.35">
      <c r="A241" s="247"/>
      <c r="H241" s="370"/>
      <c r="Q241"/>
      <c r="R241"/>
      <c r="S241"/>
      <c r="T241"/>
      <c r="U241"/>
      <c r="V241"/>
      <c r="W241"/>
      <c r="X241"/>
      <c r="Y241"/>
      <c r="Z241"/>
      <c r="AA241"/>
    </row>
    <row r="242" spans="1:27" ht="17.100000000000001" customHeight="1" thickBot="1" x14ac:dyDescent="0.35">
      <c r="A242" s="351">
        <f>Presupuesto!A19</f>
        <v>1.5</v>
      </c>
      <c r="B242" s="732" t="str">
        <f>Presupuesto!B19</f>
        <v>DEMOLICION MANUAL LOSA EN CONCRETO DE AULA 1</v>
      </c>
      <c r="C242" s="733"/>
      <c r="D242" s="733"/>
      <c r="E242" s="733"/>
      <c r="F242" s="734"/>
      <c r="G242" s="352" t="s">
        <v>28</v>
      </c>
      <c r="H242" s="444" t="str">
        <f>Presupuesto!D19</f>
        <v>M2</v>
      </c>
      <c r="Q242"/>
      <c r="R242"/>
      <c r="S242"/>
      <c r="T242"/>
      <c r="U242"/>
      <c r="V242"/>
      <c r="W242"/>
      <c r="X242"/>
      <c r="Y242"/>
      <c r="Z242"/>
      <c r="AA242"/>
    </row>
    <row r="243" spans="1:27" ht="17.100000000000001" customHeight="1" x14ac:dyDescent="0.3">
      <c r="A243" s="247"/>
      <c r="H243" s="370"/>
      <c r="Q243"/>
      <c r="R243"/>
      <c r="S243"/>
      <c r="T243"/>
      <c r="U243"/>
      <c r="V243"/>
      <c r="W243"/>
      <c r="X243"/>
      <c r="Y243"/>
      <c r="Z243"/>
      <c r="AA243"/>
    </row>
    <row r="244" spans="1:27" ht="17.100000000000001" customHeight="1" x14ac:dyDescent="0.3">
      <c r="A244" s="206" t="s">
        <v>29</v>
      </c>
      <c r="B244" s="704" t="s">
        <v>30</v>
      </c>
      <c r="C244" s="704"/>
      <c r="D244" s="704"/>
      <c r="E244" s="704"/>
      <c r="F244" s="704"/>
      <c r="G244" s="704"/>
      <c r="H244" s="370"/>
      <c r="Q244"/>
      <c r="R244"/>
      <c r="S244"/>
      <c r="T244"/>
      <c r="U244"/>
      <c r="V244"/>
      <c r="W244"/>
      <c r="X244"/>
      <c r="Y244"/>
      <c r="Z244"/>
      <c r="AA244"/>
    </row>
    <row r="245" spans="1:27" ht="17.100000000000001" customHeight="1" x14ac:dyDescent="0.3">
      <c r="A245" s="225"/>
      <c r="B245" s="735" t="s">
        <v>31</v>
      </c>
      <c r="C245" s="736"/>
      <c r="D245" s="225" t="s">
        <v>32</v>
      </c>
      <c r="E245" s="225" t="s">
        <v>33</v>
      </c>
      <c r="F245" s="225" t="s">
        <v>34</v>
      </c>
      <c r="G245" s="225" t="s">
        <v>35</v>
      </c>
      <c r="H245" s="370"/>
      <c r="Q245"/>
      <c r="R245"/>
      <c r="S245"/>
      <c r="T245"/>
      <c r="U245"/>
      <c r="V245"/>
      <c r="W245"/>
      <c r="X245"/>
      <c r="Y245"/>
      <c r="Z245"/>
      <c r="AA245"/>
    </row>
    <row r="246" spans="1:27" ht="17.100000000000001" customHeight="1" x14ac:dyDescent="0.3">
      <c r="A246" s="199"/>
      <c r="B246" s="737" t="s">
        <v>67</v>
      </c>
      <c r="C246" s="738"/>
      <c r="D246" s="199"/>
      <c r="E246" s="207"/>
      <c r="F246" s="207">
        <v>0.1</v>
      </c>
      <c r="G246" s="218">
        <f>ROUND((H263*F246),2)</f>
        <v>1300</v>
      </c>
      <c r="H246" s="370"/>
      <c r="Q246"/>
      <c r="R246"/>
      <c r="S246"/>
      <c r="T246"/>
      <c r="U246"/>
      <c r="V246"/>
      <c r="W246"/>
      <c r="X246"/>
      <c r="Y246"/>
      <c r="Z246"/>
      <c r="AA246"/>
    </row>
    <row r="247" spans="1:27" ht="17.100000000000001" customHeight="1" x14ac:dyDescent="0.25">
      <c r="A247" s="199"/>
      <c r="B247" s="737" t="s">
        <v>376</v>
      </c>
      <c r="C247" s="738"/>
      <c r="D247" s="199" t="s">
        <v>332</v>
      </c>
      <c r="E247" s="207">
        <v>10000</v>
      </c>
      <c r="F247" s="207">
        <v>0.6</v>
      </c>
      <c r="G247" s="207">
        <f>E247*F247</f>
        <v>6000</v>
      </c>
      <c r="H247" s="370"/>
    </row>
    <row r="248" spans="1:27" ht="17.100000000000001" customHeight="1" x14ac:dyDescent="0.25">
      <c r="A248" s="199"/>
      <c r="B248" s="735"/>
      <c r="C248" s="736"/>
      <c r="D248" s="199"/>
      <c r="E248" s="207"/>
      <c r="F248" s="207"/>
      <c r="G248" s="207"/>
      <c r="H248" s="370"/>
    </row>
    <row r="249" spans="1:27" ht="17.100000000000001" customHeight="1" x14ac:dyDescent="0.25">
      <c r="A249" s="248"/>
      <c r="E249" s="208" t="s">
        <v>36</v>
      </c>
      <c r="F249" s="208"/>
      <c r="G249" s="208"/>
      <c r="H249" s="370">
        <f>SUM(G246:G248)</f>
        <v>7300</v>
      </c>
    </row>
    <row r="250" spans="1:27" ht="17.100000000000001" customHeight="1" x14ac:dyDescent="0.25">
      <c r="A250" s="206" t="s">
        <v>37</v>
      </c>
      <c r="B250" s="704" t="s">
        <v>38</v>
      </c>
      <c r="C250" s="704"/>
      <c r="D250" s="704"/>
      <c r="E250" s="704"/>
      <c r="F250" s="704"/>
      <c r="G250" s="704"/>
      <c r="H250" s="370"/>
    </row>
    <row r="251" spans="1:27" ht="17.100000000000001" customHeight="1" x14ac:dyDescent="0.25">
      <c r="A251" s="225"/>
      <c r="B251" s="735" t="s">
        <v>31</v>
      </c>
      <c r="C251" s="736"/>
      <c r="D251" s="199" t="s">
        <v>12</v>
      </c>
      <c r="E251" s="209" t="s">
        <v>39</v>
      </c>
      <c r="F251" s="209" t="s">
        <v>40</v>
      </c>
      <c r="G251" s="209" t="s">
        <v>35</v>
      </c>
      <c r="H251" s="370"/>
    </row>
    <row r="252" spans="1:27" ht="17.100000000000001" customHeight="1" x14ac:dyDescent="0.25">
      <c r="A252" s="199"/>
      <c r="B252" s="741"/>
      <c r="C252" s="742"/>
      <c r="D252" s="417"/>
      <c r="E252" s="418"/>
      <c r="F252" s="419"/>
      <c r="G252" s="207">
        <f>ROUND((E252*F252),2)</f>
        <v>0</v>
      </c>
      <c r="H252" s="370"/>
    </row>
    <row r="253" spans="1:27" ht="17.100000000000001" customHeight="1" x14ac:dyDescent="0.25">
      <c r="A253" s="199"/>
      <c r="B253" s="737"/>
      <c r="C253" s="738"/>
      <c r="D253" s="225"/>
      <c r="E253" s="209"/>
      <c r="F253" s="420"/>
      <c r="G253" s="207">
        <f>ROUND((E253*F253),2)</f>
        <v>0</v>
      </c>
      <c r="H253" s="370"/>
    </row>
    <row r="254" spans="1:27" ht="17.100000000000001" customHeight="1" x14ac:dyDescent="0.25">
      <c r="A254" s="199"/>
      <c r="B254" s="737"/>
      <c r="C254" s="738"/>
      <c r="D254" s="231"/>
      <c r="E254" s="209"/>
      <c r="F254" s="421"/>
      <c r="G254" s="207">
        <f>ROUND((E254*F254),2)</f>
        <v>0</v>
      </c>
      <c r="H254" s="370"/>
    </row>
    <row r="255" spans="1:27" ht="17.100000000000001" customHeight="1" x14ac:dyDescent="0.25">
      <c r="A255" s="199"/>
      <c r="B255" s="737"/>
      <c r="C255" s="738"/>
      <c r="D255" s="231"/>
      <c r="E255" s="209"/>
      <c r="F255" s="421"/>
      <c r="G255" s="207">
        <f>ROUND((E255*F255),2)</f>
        <v>0</v>
      </c>
      <c r="H255" s="370"/>
    </row>
    <row r="256" spans="1:27" ht="17.100000000000001" customHeight="1" x14ac:dyDescent="0.25">
      <c r="A256" s="199"/>
      <c r="B256" s="737"/>
      <c r="C256" s="738"/>
      <c r="D256" s="422"/>
      <c r="E256" s="209"/>
      <c r="F256" s="421"/>
      <c r="G256" s="207">
        <f>ROUND((E256*F256),2)</f>
        <v>0</v>
      </c>
      <c r="H256" s="370"/>
    </row>
    <row r="257" spans="1:8" ht="17.100000000000001" customHeight="1" x14ac:dyDescent="0.25">
      <c r="A257" s="248" t="s">
        <v>41</v>
      </c>
      <c r="E257" s="208" t="s">
        <v>42</v>
      </c>
      <c r="F257" s="208"/>
      <c r="G257" s="208"/>
      <c r="H257" s="370">
        <f>(SUM(G252:G256))</f>
        <v>0</v>
      </c>
    </row>
    <row r="258" spans="1:8" ht="17.100000000000001" customHeight="1" x14ac:dyDescent="0.25">
      <c r="A258" s="206" t="s">
        <v>43</v>
      </c>
      <c r="B258" s="704" t="s">
        <v>44</v>
      </c>
      <c r="C258" s="704"/>
      <c r="D258" s="704"/>
      <c r="E258" s="704"/>
      <c r="F258" s="704"/>
      <c r="G258" s="704"/>
      <c r="H258" s="370"/>
    </row>
    <row r="259" spans="1:8" ht="17.100000000000001" customHeight="1" x14ac:dyDescent="0.25">
      <c r="A259" s="199" t="s">
        <v>45</v>
      </c>
      <c r="B259" s="225" t="s">
        <v>31</v>
      </c>
      <c r="C259" s="225" t="s">
        <v>46</v>
      </c>
      <c r="D259" s="225" t="s">
        <v>47</v>
      </c>
      <c r="E259" s="209" t="s">
        <v>48</v>
      </c>
      <c r="F259" s="207" t="s">
        <v>34</v>
      </c>
      <c r="G259" s="207" t="s">
        <v>35</v>
      </c>
      <c r="H259" s="370"/>
    </row>
    <row r="260" spans="1:8" ht="17.100000000000001" customHeight="1" x14ac:dyDescent="0.25">
      <c r="A260" s="199">
        <v>2</v>
      </c>
      <c r="B260" s="199" t="s">
        <v>189</v>
      </c>
      <c r="C260" s="211">
        <v>70000</v>
      </c>
      <c r="D260" s="212">
        <v>0.75</v>
      </c>
      <c r="E260" s="210">
        <f>+(A260*C260)+(A260*C260*D260)</f>
        <v>245000</v>
      </c>
      <c r="F260" s="423">
        <v>35</v>
      </c>
      <c r="G260" s="218">
        <f>ROUND(((E260)/(F260)),2)</f>
        <v>7000</v>
      </c>
      <c r="H260" s="370"/>
    </row>
    <row r="261" spans="1:8" ht="17.100000000000001" customHeight="1" x14ac:dyDescent="0.25">
      <c r="A261" s="199">
        <v>1</v>
      </c>
      <c r="B261" s="199" t="s">
        <v>233</v>
      </c>
      <c r="C261" s="211">
        <v>120000</v>
      </c>
      <c r="D261" s="212">
        <v>0.75</v>
      </c>
      <c r="E261" s="210">
        <f>+(A261*C261)+(A261*C261*D261)</f>
        <v>210000</v>
      </c>
      <c r="F261" s="423">
        <v>35</v>
      </c>
      <c r="G261" s="218">
        <f>ROUND(((E261)/(F261)),2)</f>
        <v>6000</v>
      </c>
      <c r="H261" s="370"/>
    </row>
    <row r="262" spans="1:8" ht="17.100000000000001" customHeight="1" x14ac:dyDescent="0.25">
      <c r="A262" s="199"/>
      <c r="B262" s="199"/>
      <c r="C262" s="199"/>
      <c r="D262" s="199"/>
      <c r="E262" s="207"/>
      <c r="F262" s="207"/>
      <c r="G262" s="207"/>
      <c r="H262" s="370"/>
    </row>
    <row r="263" spans="1:8" ht="17.100000000000001" customHeight="1" x14ac:dyDescent="0.25">
      <c r="A263" s="248"/>
      <c r="E263" s="208" t="s">
        <v>50</v>
      </c>
      <c r="F263" s="208"/>
      <c r="G263" s="208"/>
      <c r="H263" s="370">
        <f>SUM(G260)+(G261)</f>
        <v>13000</v>
      </c>
    </row>
    <row r="264" spans="1:8" ht="17.100000000000001" customHeight="1" x14ac:dyDescent="0.25">
      <c r="A264" s="206" t="s">
        <v>51</v>
      </c>
      <c r="B264" s="704" t="s">
        <v>18</v>
      </c>
      <c r="C264" s="704"/>
      <c r="D264" s="704"/>
      <c r="E264" s="704"/>
      <c r="F264" s="704"/>
      <c r="G264" s="704"/>
      <c r="H264" s="370"/>
    </row>
    <row r="265" spans="1:8" ht="17.100000000000001" customHeight="1" x14ac:dyDescent="0.25">
      <c r="A265" s="199"/>
      <c r="B265" s="199" t="s">
        <v>31</v>
      </c>
      <c r="C265" s="225" t="s">
        <v>12</v>
      </c>
      <c r="D265" s="225" t="s">
        <v>13</v>
      </c>
      <c r="E265" s="225" t="s">
        <v>52</v>
      </c>
      <c r="F265" s="225"/>
      <c r="G265" s="207" t="s">
        <v>53</v>
      </c>
      <c r="H265" s="370"/>
    </row>
    <row r="266" spans="1:8" ht="17.100000000000001" customHeight="1" x14ac:dyDescent="0.25">
      <c r="A266" s="199"/>
      <c r="B266" s="199"/>
      <c r="C266" s="214"/>
      <c r="D266" s="199"/>
      <c r="E266" s="207"/>
      <c r="F266" s="207"/>
      <c r="G266" s="207"/>
      <c r="H266" s="370"/>
    </row>
    <row r="267" spans="1:8" ht="17.100000000000001" customHeight="1" x14ac:dyDescent="0.25">
      <c r="A267" s="199"/>
      <c r="B267" s="199"/>
      <c r="C267" s="210"/>
      <c r="D267" s="199"/>
      <c r="E267" s="207"/>
      <c r="F267" s="207"/>
      <c r="G267" s="207"/>
      <c r="H267" s="370"/>
    </row>
    <row r="268" spans="1:8" ht="17.100000000000001" customHeight="1" x14ac:dyDescent="0.25">
      <c r="A268" s="199"/>
      <c r="B268" s="199"/>
      <c r="C268" s="199"/>
      <c r="D268" s="199"/>
      <c r="E268" s="207"/>
      <c r="F268" s="207"/>
      <c r="G268" s="207"/>
      <c r="H268" s="370"/>
    </row>
    <row r="269" spans="1:8" ht="17.100000000000001" customHeight="1" x14ac:dyDescent="0.25">
      <c r="A269" s="248"/>
      <c r="E269" s="208" t="s">
        <v>50</v>
      </c>
      <c r="F269" s="208"/>
      <c r="G269" s="208"/>
      <c r="H269" s="370">
        <f>ROUND(SUM(G266)+(G267),0)</f>
        <v>0</v>
      </c>
    </row>
    <row r="270" spans="1:8" ht="17.100000000000001" customHeight="1" x14ac:dyDescent="0.25">
      <c r="A270" s="247"/>
      <c r="E270" s="208"/>
      <c r="F270" s="208"/>
      <c r="G270" s="208"/>
      <c r="H270" s="370"/>
    </row>
    <row r="271" spans="1:8" ht="17.100000000000001" customHeight="1" x14ac:dyDescent="0.25">
      <c r="A271" s="247"/>
      <c r="D271" s="215" t="s">
        <v>54</v>
      </c>
      <c r="E271" s="216"/>
      <c r="F271" s="216"/>
      <c r="G271" s="216"/>
      <c r="H271" s="370">
        <f>ROUND((SUM(H249:H270)),2)</f>
        <v>20300</v>
      </c>
    </row>
    <row r="272" spans="1:8" ht="17.100000000000001" customHeight="1" x14ac:dyDescent="0.25">
      <c r="A272" s="247"/>
      <c r="E272" s="208"/>
      <c r="F272" s="208"/>
      <c r="G272" s="208"/>
      <c r="H272" s="370"/>
    </row>
    <row r="273" spans="1:8" ht="17.100000000000001" customHeight="1" x14ac:dyDescent="0.25">
      <c r="A273" s="206" t="s">
        <v>55</v>
      </c>
      <c r="B273" s="704" t="s">
        <v>56</v>
      </c>
      <c r="C273" s="704"/>
      <c r="D273" s="704"/>
      <c r="E273" s="704"/>
      <c r="F273" s="704"/>
      <c r="G273" s="704"/>
      <c r="H273" s="370"/>
    </row>
    <row r="274" spans="1:8" ht="17.100000000000001" customHeight="1" x14ac:dyDescent="0.25">
      <c r="A274" s="225"/>
      <c r="B274" s="225" t="s">
        <v>31</v>
      </c>
      <c r="C274" s="225" t="s">
        <v>57</v>
      </c>
      <c r="D274" s="199" t="s">
        <v>58</v>
      </c>
      <c r="E274" s="207"/>
      <c r="F274" s="207" t="s">
        <v>59</v>
      </c>
      <c r="G274" s="207"/>
      <c r="H274" s="370"/>
    </row>
    <row r="275" spans="1:8" ht="17.100000000000001" customHeight="1" x14ac:dyDescent="0.25">
      <c r="A275" s="199"/>
      <c r="B275" s="225" t="s">
        <v>60</v>
      </c>
      <c r="C275" s="212">
        <v>0.28000000000000003</v>
      </c>
      <c r="D275" s="199"/>
      <c r="E275" s="210"/>
      <c r="F275" s="199"/>
      <c r="G275" s="218">
        <f>ROUND((H271*C275),2)</f>
        <v>5684</v>
      </c>
      <c r="H275" s="370"/>
    </row>
    <row r="276" spans="1:8" ht="17.100000000000001" customHeight="1" x14ac:dyDescent="0.25">
      <c r="A276" s="199"/>
      <c r="B276" s="225" t="s">
        <v>61</v>
      </c>
      <c r="C276" s="212">
        <v>0.01</v>
      </c>
      <c r="D276" s="199"/>
      <c r="E276" s="210"/>
      <c r="F276" s="199"/>
      <c r="G276" s="218">
        <f>ROUND((H271*C276),2)</f>
        <v>203</v>
      </c>
      <c r="H276" s="370"/>
    </row>
    <row r="277" spans="1:8" ht="17.100000000000001" customHeight="1" x14ac:dyDescent="0.25">
      <c r="A277" s="199"/>
      <c r="B277" s="225" t="s">
        <v>62</v>
      </c>
      <c r="C277" s="212">
        <v>0.03</v>
      </c>
      <c r="D277" s="199"/>
      <c r="E277" s="210"/>
      <c r="F277" s="199"/>
      <c r="G277" s="218">
        <f>ROUND((H271*C277),2)</f>
        <v>609</v>
      </c>
      <c r="H277" s="370"/>
    </row>
    <row r="278" spans="1:8" ht="17.100000000000001" customHeight="1" x14ac:dyDescent="0.25">
      <c r="A278" s="247"/>
      <c r="D278" s="215" t="s">
        <v>63</v>
      </c>
      <c r="E278" s="216"/>
      <c r="F278" s="216"/>
      <c r="G278" s="216"/>
      <c r="H278" s="370">
        <f>SUM(G274:G277)</f>
        <v>6496</v>
      </c>
    </row>
    <row r="279" spans="1:8" ht="17.100000000000001" customHeight="1" x14ac:dyDescent="0.25">
      <c r="A279" s="247"/>
      <c r="E279" s="208"/>
      <c r="F279" s="208"/>
      <c r="G279" s="208"/>
      <c r="H279" s="370"/>
    </row>
    <row r="280" spans="1:8" ht="17.100000000000001" customHeight="1" x14ac:dyDescent="0.25">
      <c r="A280" s="247"/>
      <c r="D280" s="215" t="s">
        <v>64</v>
      </c>
      <c r="E280" s="216"/>
      <c r="F280" s="216"/>
      <c r="G280" s="208"/>
      <c r="H280" s="370">
        <f>H271+H278</f>
        <v>26796</v>
      </c>
    </row>
    <row r="281" spans="1:8" ht="17.100000000000001" customHeight="1" x14ac:dyDescent="0.25">
      <c r="A281" s="247"/>
      <c r="D281" s="215"/>
      <c r="E281" s="216"/>
      <c r="F281" s="216"/>
      <c r="G281" s="208"/>
      <c r="H281" s="370"/>
    </row>
    <row r="282" spans="1:8" ht="17.100000000000001" customHeight="1" x14ac:dyDescent="0.25">
      <c r="A282" s="205"/>
      <c r="B282" s="204"/>
      <c r="E282" s="219"/>
      <c r="F282" s="220"/>
      <c r="G282" s="203"/>
      <c r="H282" s="370"/>
    </row>
    <row r="283" spans="1:8" ht="17.100000000000001" customHeight="1" x14ac:dyDescent="0.25">
      <c r="A283" s="249" t="str">
        <f>+A225</f>
        <v>ING JHON ALEXANDER ARIAS</v>
      </c>
      <c r="B283" s="217"/>
      <c r="E283" s="216" t="str">
        <f>Presupuesto!D65</f>
        <v>ARQ. GUILLERMO YAMID VALLEJOS BENAVIDES</v>
      </c>
      <c r="F283" s="208"/>
      <c r="G283" s="208"/>
      <c r="H283" s="370"/>
    </row>
    <row r="284" spans="1:8" ht="16.5" customHeight="1" x14ac:dyDescent="0.25">
      <c r="A284" s="250" t="str">
        <f t="shared" ref="A284:A285" si="4">+A226</f>
        <v>APOYO PROFESIONAL SPOPM</v>
      </c>
      <c r="B284" s="217"/>
      <c r="E284" s="208" t="str">
        <f>Presupuesto!D66</f>
        <v>SECRETARIO DE PLANEACION Y OBRAS PUBLICAS</v>
      </c>
      <c r="F284" s="208"/>
      <c r="G284" s="208"/>
      <c r="H284" s="370"/>
    </row>
    <row r="285" spans="1:8" ht="17.100000000000001" customHeight="1" x14ac:dyDescent="0.25">
      <c r="A285" s="250" t="str">
        <f t="shared" si="4"/>
        <v>MP 111037-0703225 NRÑ</v>
      </c>
      <c r="B285" s="580"/>
      <c r="C285" s="579"/>
      <c r="D285" s="579"/>
      <c r="E285" s="581" t="str">
        <f>Presupuesto!D67</f>
        <v>SAN MIGUEL - PUTUMAYO</v>
      </c>
      <c r="F285" s="581"/>
      <c r="G285" s="581"/>
      <c r="H285" s="516"/>
    </row>
    <row r="286" spans="1:8" ht="17.100000000000001" customHeight="1" x14ac:dyDescent="0.25">
      <c r="A286" s="217"/>
      <c r="B286" s="217"/>
      <c r="E286" s="216"/>
      <c r="F286" s="208"/>
      <c r="G286" s="208"/>
      <c r="H286" s="370"/>
    </row>
    <row r="287" spans="1:8" ht="17.100000000000001" customHeight="1" x14ac:dyDescent="0.3">
      <c r="A287" s="705"/>
      <c r="B287" s="706"/>
      <c r="C287" s="638" t="s">
        <v>224</v>
      </c>
      <c r="D287" s="625" t="s">
        <v>225</v>
      </c>
      <c r="E287" s="626"/>
      <c r="F287" s="275">
        <v>103</v>
      </c>
      <c r="G287" s="711"/>
      <c r="H287" s="711"/>
    </row>
    <row r="288" spans="1:8" ht="17.100000000000001" customHeight="1" x14ac:dyDescent="0.25">
      <c r="A288" s="707"/>
      <c r="B288" s="708"/>
      <c r="C288" s="639"/>
      <c r="D288" s="634" t="s">
        <v>195</v>
      </c>
      <c r="E288" s="635"/>
      <c r="F288" s="712">
        <v>51</v>
      </c>
      <c r="G288" s="711"/>
      <c r="H288" s="711"/>
    </row>
    <row r="289" spans="1:8" ht="17.100000000000001" customHeight="1" x14ac:dyDescent="0.25">
      <c r="A289" s="707"/>
      <c r="B289" s="708"/>
      <c r="C289" s="307" t="s">
        <v>196</v>
      </c>
      <c r="D289" s="636"/>
      <c r="E289" s="637"/>
      <c r="F289" s="713"/>
      <c r="G289" s="711"/>
      <c r="H289" s="711"/>
    </row>
    <row r="290" spans="1:8" ht="17.100000000000001" customHeight="1" x14ac:dyDescent="0.25">
      <c r="A290" s="707"/>
      <c r="B290" s="708"/>
      <c r="C290" s="308" t="s">
        <v>197</v>
      </c>
      <c r="D290" s="640" t="s">
        <v>198</v>
      </c>
      <c r="E290" s="641"/>
      <c r="F290" s="309">
        <v>1</v>
      </c>
      <c r="G290" s="711"/>
      <c r="H290" s="711"/>
    </row>
    <row r="291" spans="1:8" ht="17.100000000000001" customHeight="1" x14ac:dyDescent="0.25">
      <c r="A291" s="707"/>
      <c r="B291" s="708"/>
      <c r="C291" s="714" t="s">
        <v>199</v>
      </c>
      <c r="D291" s="716" t="s">
        <v>200</v>
      </c>
      <c r="E291" s="717"/>
      <c r="F291" s="307" t="s">
        <v>201</v>
      </c>
      <c r="G291" s="711"/>
      <c r="H291" s="711"/>
    </row>
    <row r="292" spans="1:8" ht="17.100000000000001" customHeight="1" x14ac:dyDescent="0.25">
      <c r="A292" s="709"/>
      <c r="B292" s="710"/>
      <c r="C292" s="715"/>
      <c r="D292" s="718"/>
      <c r="E292" s="719"/>
      <c r="F292" s="310">
        <v>44216</v>
      </c>
      <c r="G292" s="711"/>
      <c r="H292" s="711"/>
    </row>
    <row r="293" spans="1:8" ht="17.100000000000001" customHeight="1" thickBot="1" x14ac:dyDescent="0.3">
      <c r="A293" s="720"/>
      <c r="B293" s="721"/>
      <c r="C293" s="721"/>
      <c r="D293" s="721"/>
      <c r="E293" s="721"/>
      <c r="F293" s="721"/>
      <c r="G293" s="721"/>
      <c r="H293" s="722"/>
    </row>
    <row r="294" spans="1:8" ht="17.100000000000001" customHeight="1" x14ac:dyDescent="0.25">
      <c r="A294" s="723" t="str">
        <f>+Presupuesto!A8</f>
        <v>ADECUACION Y MEJORAMIENTO DE AULAS ESCOLARES UBICADA EN LA INSTITUCION EDUCATIVA TECNICO COMERCIAL LA DORADA SEDE ESCUELA CENTRAL DEL MUNICIPIO DE SAN MIGUEL PUTUMAYO</v>
      </c>
      <c r="B294" s="724"/>
      <c r="C294" s="724"/>
      <c r="D294" s="724"/>
      <c r="E294" s="724"/>
      <c r="F294" s="724"/>
      <c r="G294" s="724"/>
      <c r="H294" s="725"/>
    </row>
    <row r="295" spans="1:8" ht="17.100000000000001" customHeight="1" thickBot="1" x14ac:dyDescent="0.3">
      <c r="A295" s="726"/>
      <c r="B295" s="727"/>
      <c r="C295" s="727"/>
      <c r="D295" s="727"/>
      <c r="E295" s="727"/>
      <c r="F295" s="727"/>
      <c r="G295" s="727"/>
      <c r="H295" s="728"/>
    </row>
    <row r="296" spans="1:8" ht="17.100000000000001" customHeight="1" thickBot="1" x14ac:dyDescent="0.3">
      <c r="A296" s="273"/>
      <c r="B296" s="274"/>
      <c r="C296" s="274"/>
      <c r="D296" s="274"/>
      <c r="E296" s="274"/>
      <c r="F296" s="274"/>
      <c r="G296" s="274"/>
      <c r="H296" s="443"/>
    </row>
    <row r="297" spans="1:8" ht="17.100000000000001" customHeight="1" thickBot="1" x14ac:dyDescent="0.3">
      <c r="A297" s="729" t="s">
        <v>26</v>
      </c>
      <c r="B297" s="730"/>
      <c r="C297" s="730"/>
      <c r="D297" s="730"/>
      <c r="E297" s="730"/>
      <c r="F297" s="730"/>
      <c r="G297" s="730"/>
      <c r="H297" s="731"/>
    </row>
    <row r="298" spans="1:8" ht="17.100000000000001" customHeight="1" thickBot="1" x14ac:dyDescent="0.3">
      <c r="A298" s="247"/>
      <c r="H298" s="370"/>
    </row>
    <row r="299" spans="1:8" ht="17.100000000000001" customHeight="1" thickBot="1" x14ac:dyDescent="0.3">
      <c r="A299" s="351">
        <f>+Presupuesto!A20</f>
        <v>1.6</v>
      </c>
      <c r="B299" s="732" t="str">
        <f>+Presupuesto!B20</f>
        <v>DEMOLICION MANUAL MURO AULA 2 (EJE B)</v>
      </c>
      <c r="C299" s="733"/>
      <c r="D299" s="733"/>
      <c r="E299" s="733"/>
      <c r="F299" s="734"/>
      <c r="G299" s="352" t="s">
        <v>28</v>
      </c>
      <c r="H299" s="444" t="str">
        <f>+Presupuesto!D20</f>
        <v>M2</v>
      </c>
    </row>
    <row r="300" spans="1:8" ht="17.100000000000001" customHeight="1" x14ac:dyDescent="0.25">
      <c r="A300" s="247"/>
      <c r="H300" s="370"/>
    </row>
    <row r="301" spans="1:8" ht="17.100000000000001" customHeight="1" x14ac:dyDescent="0.25">
      <c r="A301" s="206" t="s">
        <v>29</v>
      </c>
      <c r="B301" s="704" t="s">
        <v>30</v>
      </c>
      <c r="C301" s="704"/>
      <c r="D301" s="704"/>
      <c r="E301" s="704"/>
      <c r="F301" s="704"/>
      <c r="G301" s="704"/>
      <c r="H301" s="370"/>
    </row>
    <row r="302" spans="1:8" ht="17.100000000000001" customHeight="1" x14ac:dyDescent="0.25">
      <c r="A302" s="225"/>
      <c r="B302" s="735" t="s">
        <v>31</v>
      </c>
      <c r="C302" s="736"/>
      <c r="D302" s="225" t="s">
        <v>32</v>
      </c>
      <c r="E302" s="225" t="s">
        <v>33</v>
      </c>
      <c r="F302" s="225" t="s">
        <v>34</v>
      </c>
      <c r="G302" s="225" t="s">
        <v>35</v>
      </c>
      <c r="H302" s="370"/>
    </row>
    <row r="303" spans="1:8" ht="17.100000000000001" customHeight="1" x14ac:dyDescent="0.25">
      <c r="A303" s="199"/>
      <c r="B303" s="737" t="s">
        <v>67</v>
      </c>
      <c r="C303" s="738"/>
      <c r="D303" s="199"/>
      <c r="E303" s="207"/>
      <c r="F303" s="207">
        <v>0.1</v>
      </c>
      <c r="G303" s="218">
        <f>ROUND((H320*F303),2)</f>
        <v>2527.7800000000002</v>
      </c>
      <c r="H303" s="370"/>
    </row>
    <row r="304" spans="1:8" ht="17.100000000000001" customHeight="1" x14ac:dyDescent="0.25">
      <c r="A304" s="199"/>
      <c r="B304" s="737" t="s">
        <v>376</v>
      </c>
      <c r="C304" s="738"/>
      <c r="D304" s="199" t="s">
        <v>332</v>
      </c>
      <c r="E304" s="207">
        <v>10000</v>
      </c>
      <c r="F304" s="207">
        <v>0.6</v>
      </c>
      <c r="G304" s="207">
        <f>E304*F304</f>
        <v>6000</v>
      </c>
      <c r="H304" s="370"/>
    </row>
    <row r="305" spans="1:8" ht="17.100000000000001" customHeight="1" x14ac:dyDescent="0.25">
      <c r="A305" s="199"/>
      <c r="B305" s="735"/>
      <c r="C305" s="736"/>
      <c r="D305" s="199"/>
      <c r="E305" s="207"/>
      <c r="F305" s="207"/>
      <c r="G305" s="207"/>
      <c r="H305" s="370"/>
    </row>
    <row r="306" spans="1:8" ht="17.100000000000001" customHeight="1" x14ac:dyDescent="0.25">
      <c r="A306" s="248"/>
      <c r="E306" s="208" t="s">
        <v>36</v>
      </c>
      <c r="F306" s="208"/>
      <c r="G306" s="208"/>
      <c r="H306" s="370">
        <f>SUM(G303:G305)</f>
        <v>8527.7800000000007</v>
      </c>
    </row>
    <row r="307" spans="1:8" ht="17.100000000000001" customHeight="1" x14ac:dyDescent="0.25">
      <c r="A307" s="206" t="s">
        <v>37</v>
      </c>
      <c r="B307" s="704" t="s">
        <v>38</v>
      </c>
      <c r="C307" s="704"/>
      <c r="D307" s="704"/>
      <c r="E307" s="704"/>
      <c r="F307" s="704"/>
      <c r="G307" s="704"/>
      <c r="H307" s="370"/>
    </row>
    <row r="308" spans="1:8" ht="17.100000000000001" customHeight="1" x14ac:dyDescent="0.25">
      <c r="A308" s="225"/>
      <c r="B308" s="735" t="s">
        <v>31</v>
      </c>
      <c r="C308" s="736"/>
      <c r="D308" s="199" t="s">
        <v>12</v>
      </c>
      <c r="E308" s="209" t="s">
        <v>39</v>
      </c>
      <c r="F308" s="209" t="s">
        <v>40</v>
      </c>
      <c r="G308" s="209" t="s">
        <v>35</v>
      </c>
      <c r="H308" s="370"/>
    </row>
    <row r="309" spans="1:8" ht="17.100000000000001" customHeight="1" x14ac:dyDescent="0.25">
      <c r="A309" s="199"/>
      <c r="B309" s="741"/>
      <c r="C309" s="742"/>
      <c r="D309" s="417"/>
      <c r="E309" s="418"/>
      <c r="F309" s="419"/>
      <c r="G309" s="207">
        <f>ROUND((E309*F309),2)</f>
        <v>0</v>
      </c>
      <c r="H309" s="370"/>
    </row>
    <row r="310" spans="1:8" ht="17.100000000000001" customHeight="1" x14ac:dyDescent="0.25">
      <c r="A310" s="199"/>
      <c r="B310" s="737"/>
      <c r="C310" s="738"/>
      <c r="D310" s="225"/>
      <c r="E310" s="209"/>
      <c r="F310" s="420"/>
      <c r="G310" s="207">
        <f>ROUND((E310*F310),2)</f>
        <v>0</v>
      </c>
      <c r="H310" s="370"/>
    </row>
    <row r="311" spans="1:8" ht="17.100000000000001" customHeight="1" x14ac:dyDescent="0.25">
      <c r="A311" s="199"/>
      <c r="B311" s="737"/>
      <c r="C311" s="738"/>
      <c r="D311" s="231"/>
      <c r="E311" s="209"/>
      <c r="F311" s="421"/>
      <c r="G311" s="207">
        <f>ROUND((E311*F311),2)</f>
        <v>0</v>
      </c>
      <c r="H311" s="370"/>
    </row>
    <row r="312" spans="1:8" ht="17.100000000000001" customHeight="1" x14ac:dyDescent="0.25">
      <c r="A312" s="199"/>
      <c r="B312" s="737"/>
      <c r="C312" s="738"/>
      <c r="D312" s="231"/>
      <c r="E312" s="209"/>
      <c r="F312" s="421"/>
      <c r="G312" s="207">
        <f>ROUND((E312*F312),2)</f>
        <v>0</v>
      </c>
      <c r="H312" s="370"/>
    </row>
    <row r="313" spans="1:8" ht="17.100000000000001" customHeight="1" x14ac:dyDescent="0.25">
      <c r="A313" s="199"/>
      <c r="B313" s="737"/>
      <c r="C313" s="738"/>
      <c r="D313" s="422"/>
      <c r="E313" s="209"/>
      <c r="F313" s="421"/>
      <c r="G313" s="207">
        <f>ROUND((E313*F313),2)</f>
        <v>0</v>
      </c>
      <c r="H313" s="370"/>
    </row>
    <row r="314" spans="1:8" ht="17.100000000000001" customHeight="1" x14ac:dyDescent="0.25">
      <c r="A314" s="248" t="s">
        <v>41</v>
      </c>
      <c r="E314" s="208" t="s">
        <v>42</v>
      </c>
      <c r="F314" s="208"/>
      <c r="G314" s="208"/>
      <c r="H314" s="370">
        <f>(SUM(G309:G313))</f>
        <v>0</v>
      </c>
    </row>
    <row r="315" spans="1:8" ht="17.100000000000001" customHeight="1" x14ac:dyDescent="0.25">
      <c r="A315" s="206" t="s">
        <v>43</v>
      </c>
      <c r="B315" s="704" t="s">
        <v>44</v>
      </c>
      <c r="C315" s="704"/>
      <c r="D315" s="704"/>
      <c r="E315" s="704"/>
      <c r="F315" s="704"/>
      <c r="G315" s="704"/>
      <c r="H315" s="370"/>
    </row>
    <row r="316" spans="1:8" ht="17.100000000000001" customHeight="1" x14ac:dyDescent="0.25">
      <c r="A316" s="199" t="s">
        <v>45</v>
      </c>
      <c r="B316" s="225" t="s">
        <v>31</v>
      </c>
      <c r="C316" s="225" t="s">
        <v>46</v>
      </c>
      <c r="D316" s="225" t="s">
        <v>47</v>
      </c>
      <c r="E316" s="209" t="s">
        <v>48</v>
      </c>
      <c r="F316" s="207" t="s">
        <v>34</v>
      </c>
      <c r="G316" s="207" t="s">
        <v>35</v>
      </c>
      <c r="H316" s="370"/>
    </row>
    <row r="317" spans="1:8" ht="17.100000000000001" customHeight="1" x14ac:dyDescent="0.25">
      <c r="A317" s="199">
        <v>2</v>
      </c>
      <c r="B317" s="199" t="s">
        <v>189</v>
      </c>
      <c r="C317" s="211">
        <v>70000</v>
      </c>
      <c r="D317" s="212">
        <v>0.75</v>
      </c>
      <c r="E317" s="210">
        <f>+(A317*C317)+(A317*C317*D317)</f>
        <v>245000</v>
      </c>
      <c r="F317" s="423">
        <v>18</v>
      </c>
      <c r="G317" s="218">
        <f>ROUND(((E317)/(F317)),2)</f>
        <v>13611.11</v>
      </c>
      <c r="H317" s="370"/>
    </row>
    <row r="318" spans="1:8" ht="17.100000000000001" customHeight="1" x14ac:dyDescent="0.25">
      <c r="A318" s="199">
        <v>1</v>
      </c>
      <c r="B318" s="199" t="s">
        <v>233</v>
      </c>
      <c r="C318" s="211">
        <v>120000</v>
      </c>
      <c r="D318" s="212">
        <v>0.75</v>
      </c>
      <c r="E318" s="210">
        <f>+(A318*C318)+(A318*C318*D318)</f>
        <v>210000</v>
      </c>
      <c r="F318" s="423">
        <v>18</v>
      </c>
      <c r="G318" s="218">
        <f>ROUND(((E318)/(F318)),2)</f>
        <v>11666.67</v>
      </c>
      <c r="H318" s="370"/>
    </row>
    <row r="319" spans="1:8" ht="17.100000000000001" customHeight="1" x14ac:dyDescent="0.25">
      <c r="A319" s="199"/>
      <c r="B319" s="199"/>
      <c r="C319" s="199"/>
      <c r="D319" s="199"/>
      <c r="E319" s="207"/>
      <c r="F319" s="207"/>
      <c r="G319" s="207"/>
      <c r="H319" s="370"/>
    </row>
    <row r="320" spans="1:8" ht="17.100000000000001" customHeight="1" x14ac:dyDescent="0.25">
      <c r="A320" s="248"/>
      <c r="E320" s="208" t="s">
        <v>50</v>
      </c>
      <c r="F320" s="208"/>
      <c r="G320" s="208"/>
      <c r="H320" s="370">
        <f>SUM(G317)+(G318)</f>
        <v>25277.78</v>
      </c>
    </row>
    <row r="321" spans="1:8" ht="17.100000000000001" customHeight="1" x14ac:dyDescent="0.25">
      <c r="A321" s="206" t="s">
        <v>51</v>
      </c>
      <c r="B321" s="704" t="s">
        <v>18</v>
      </c>
      <c r="C321" s="704"/>
      <c r="D321" s="704"/>
      <c r="E321" s="704"/>
      <c r="F321" s="704"/>
      <c r="G321" s="704"/>
      <c r="H321" s="370"/>
    </row>
    <row r="322" spans="1:8" ht="17.100000000000001" customHeight="1" x14ac:dyDescent="0.25">
      <c r="A322" s="199"/>
      <c r="B322" s="199" t="s">
        <v>31</v>
      </c>
      <c r="C322" s="225" t="s">
        <v>12</v>
      </c>
      <c r="D322" s="225" t="s">
        <v>13</v>
      </c>
      <c r="E322" s="225" t="s">
        <v>52</v>
      </c>
      <c r="F322" s="225"/>
      <c r="G322" s="207" t="s">
        <v>53</v>
      </c>
      <c r="H322" s="370"/>
    </row>
    <row r="323" spans="1:8" ht="17.100000000000001" customHeight="1" x14ac:dyDescent="0.25">
      <c r="A323" s="199"/>
      <c r="B323" s="199"/>
      <c r="C323" s="214"/>
      <c r="D323" s="199"/>
      <c r="E323" s="207"/>
      <c r="F323" s="207"/>
      <c r="G323" s="207"/>
      <c r="H323" s="370"/>
    </row>
    <row r="324" spans="1:8" ht="17.100000000000001" customHeight="1" x14ac:dyDescent="0.25">
      <c r="A324" s="199"/>
      <c r="B324" s="199"/>
      <c r="C324" s="210"/>
      <c r="D324" s="199"/>
      <c r="E324" s="207"/>
      <c r="F324" s="207"/>
      <c r="G324" s="207"/>
      <c r="H324" s="370"/>
    </row>
    <row r="325" spans="1:8" ht="17.100000000000001" customHeight="1" x14ac:dyDescent="0.25">
      <c r="A325" s="199"/>
      <c r="B325" s="199"/>
      <c r="C325" s="199"/>
      <c r="D325" s="199"/>
      <c r="E325" s="207"/>
      <c r="F325" s="207"/>
      <c r="G325" s="207"/>
      <c r="H325" s="370"/>
    </row>
    <row r="326" spans="1:8" ht="17.100000000000001" customHeight="1" x14ac:dyDescent="0.25">
      <c r="A326" s="248"/>
      <c r="E326" s="208" t="s">
        <v>50</v>
      </c>
      <c r="F326" s="208"/>
      <c r="G326" s="208"/>
      <c r="H326" s="370">
        <f>ROUND(SUM(G323)+(G324),0)</f>
        <v>0</v>
      </c>
    </row>
    <row r="327" spans="1:8" ht="17.100000000000001" customHeight="1" x14ac:dyDescent="0.25">
      <c r="A327" s="247"/>
      <c r="E327" s="208"/>
      <c r="F327" s="208"/>
      <c r="G327" s="208"/>
      <c r="H327" s="370"/>
    </row>
    <row r="328" spans="1:8" ht="17.100000000000001" customHeight="1" x14ac:dyDescent="0.25">
      <c r="A328" s="247"/>
      <c r="D328" s="215" t="s">
        <v>54</v>
      </c>
      <c r="E328" s="216"/>
      <c r="F328" s="216"/>
      <c r="G328" s="216"/>
      <c r="H328" s="370">
        <f>ROUND((SUM(H306:H327)),2)</f>
        <v>33805.56</v>
      </c>
    </row>
    <row r="329" spans="1:8" ht="17.100000000000001" customHeight="1" x14ac:dyDescent="0.25">
      <c r="A329" s="247"/>
      <c r="E329" s="208"/>
      <c r="F329" s="208"/>
      <c r="G329" s="208"/>
      <c r="H329" s="370"/>
    </row>
    <row r="330" spans="1:8" ht="17.100000000000001" customHeight="1" x14ac:dyDescent="0.25">
      <c r="A330" s="206" t="s">
        <v>55</v>
      </c>
      <c r="B330" s="704" t="s">
        <v>56</v>
      </c>
      <c r="C330" s="704"/>
      <c r="D330" s="704"/>
      <c r="E330" s="704"/>
      <c r="F330" s="704"/>
      <c r="G330" s="704"/>
      <c r="H330" s="370"/>
    </row>
    <row r="331" spans="1:8" ht="17.100000000000001" customHeight="1" x14ac:dyDescent="0.25">
      <c r="A331" s="225"/>
      <c r="B331" s="225" t="s">
        <v>31</v>
      </c>
      <c r="C331" s="225" t="s">
        <v>57</v>
      </c>
      <c r="D331" s="199" t="s">
        <v>58</v>
      </c>
      <c r="E331" s="207"/>
      <c r="F331" s="207" t="s">
        <v>59</v>
      </c>
      <c r="G331" s="207"/>
      <c r="H331" s="370"/>
    </row>
    <row r="332" spans="1:8" ht="17.100000000000001" customHeight="1" x14ac:dyDescent="0.25">
      <c r="A332" s="199"/>
      <c r="B332" s="225" t="s">
        <v>60</v>
      </c>
      <c r="C332" s="212">
        <v>0.28000000000000003</v>
      </c>
      <c r="D332" s="199"/>
      <c r="E332" s="210"/>
      <c r="F332" s="199"/>
      <c r="G332" s="218">
        <f>ROUND((H328*C332),2)</f>
        <v>9465.56</v>
      </c>
      <c r="H332" s="370"/>
    </row>
    <row r="333" spans="1:8" ht="17.100000000000001" customHeight="1" x14ac:dyDescent="0.25">
      <c r="A333" s="199"/>
      <c r="B333" s="225" t="s">
        <v>61</v>
      </c>
      <c r="C333" s="212">
        <v>0.01</v>
      </c>
      <c r="D333" s="199"/>
      <c r="E333" s="210"/>
      <c r="F333" s="199"/>
      <c r="G333" s="218">
        <f>ROUND((H328*C333),2)</f>
        <v>338.06</v>
      </c>
      <c r="H333" s="370"/>
    </row>
    <row r="334" spans="1:8" ht="17.100000000000001" customHeight="1" x14ac:dyDescent="0.25">
      <c r="A334" s="199"/>
      <c r="B334" s="225" t="s">
        <v>62</v>
      </c>
      <c r="C334" s="212">
        <v>0.03</v>
      </c>
      <c r="D334" s="199"/>
      <c r="E334" s="210"/>
      <c r="F334" s="199"/>
      <c r="G334" s="218">
        <f>ROUND((H328*C334),2)</f>
        <v>1014.17</v>
      </c>
      <c r="H334" s="370"/>
    </row>
    <row r="335" spans="1:8" ht="17.100000000000001" customHeight="1" x14ac:dyDescent="0.25">
      <c r="A335" s="247"/>
      <c r="D335" s="215" t="s">
        <v>63</v>
      </c>
      <c r="E335" s="216"/>
      <c r="F335" s="216"/>
      <c r="G335" s="216"/>
      <c r="H335" s="370">
        <f>SUM(G331:G334)</f>
        <v>10817.789999999999</v>
      </c>
    </row>
    <row r="336" spans="1:8" ht="17.100000000000001" customHeight="1" x14ac:dyDescent="0.25">
      <c r="A336" s="247"/>
      <c r="E336" s="208"/>
      <c r="F336" s="208"/>
      <c r="G336" s="208"/>
      <c r="H336" s="370"/>
    </row>
    <row r="337" spans="1:27" ht="17.100000000000001" customHeight="1" x14ac:dyDescent="0.25">
      <c r="A337" s="247"/>
      <c r="D337" s="215" t="s">
        <v>64</v>
      </c>
      <c r="E337" s="216"/>
      <c r="F337" s="216"/>
      <c r="G337" s="208"/>
      <c r="H337" s="370">
        <f>H328+H335</f>
        <v>44623.35</v>
      </c>
    </row>
    <row r="338" spans="1:27" ht="17.100000000000001" customHeight="1" x14ac:dyDescent="0.25">
      <c r="A338" s="247"/>
      <c r="D338" s="215"/>
      <c r="E338" s="216"/>
      <c r="F338" s="216"/>
      <c r="G338" s="208"/>
      <c r="H338" s="370"/>
    </row>
    <row r="339" spans="1:27" ht="17.100000000000001" customHeight="1" x14ac:dyDescent="0.25">
      <c r="A339" s="205"/>
      <c r="B339" s="204"/>
      <c r="E339" s="219"/>
      <c r="F339" s="220"/>
      <c r="G339" s="203"/>
      <c r="H339" s="370"/>
    </row>
    <row r="340" spans="1:27" ht="17.100000000000001" customHeight="1" x14ac:dyDescent="0.25">
      <c r="A340" s="249" t="str">
        <f>+A283</f>
        <v>ING JHON ALEXANDER ARIAS</v>
      </c>
      <c r="B340" s="217"/>
      <c r="E340" s="216" t="str">
        <f>+E283</f>
        <v>ARQ. GUILLERMO YAMID VALLEJOS BENAVIDES</v>
      </c>
      <c r="F340" s="208"/>
      <c r="G340" s="208"/>
      <c r="H340" s="370"/>
    </row>
    <row r="341" spans="1:27" ht="17.100000000000001" customHeight="1" x14ac:dyDescent="0.25">
      <c r="A341" s="250" t="str">
        <f t="shared" ref="A341:A342" si="5">+A284</f>
        <v>APOYO PROFESIONAL SPOPM</v>
      </c>
      <c r="B341" s="217"/>
      <c r="E341" s="208" t="str">
        <f t="shared" ref="E341:E342" si="6">+E284</f>
        <v>SECRETARIO DE PLANEACION Y OBRAS PUBLICAS</v>
      </c>
      <c r="F341" s="208"/>
      <c r="G341" s="208"/>
      <c r="H341" s="370"/>
    </row>
    <row r="342" spans="1:27" ht="17.100000000000001" customHeight="1" x14ac:dyDescent="0.25">
      <c r="A342" s="250" t="str">
        <f t="shared" si="5"/>
        <v>MP 111037-0703225 NRÑ</v>
      </c>
      <c r="B342" s="580"/>
      <c r="C342" s="579"/>
      <c r="D342" s="579"/>
      <c r="E342" s="581" t="str">
        <f t="shared" si="6"/>
        <v>SAN MIGUEL - PUTUMAYO</v>
      </c>
      <c r="F342" s="581"/>
      <c r="G342" s="581"/>
      <c r="H342" s="516"/>
    </row>
    <row r="343" spans="1:27" ht="17.100000000000001" customHeight="1" x14ac:dyDescent="0.25">
      <c r="A343" s="217"/>
      <c r="B343" s="217"/>
      <c r="E343" s="216"/>
      <c r="F343" s="208"/>
      <c r="G343" s="208"/>
      <c r="H343" s="370"/>
    </row>
    <row r="344" spans="1:27" ht="16.5" customHeight="1" x14ac:dyDescent="0.25">
      <c r="B344" s="217"/>
      <c r="E344" s="208"/>
      <c r="F344" s="208"/>
      <c r="G344" s="208"/>
      <c r="H344" s="370"/>
    </row>
    <row r="345" spans="1:27" ht="17.100000000000001" customHeight="1" x14ac:dyDescent="0.3">
      <c r="A345" s="705"/>
      <c r="B345" s="706"/>
      <c r="C345" s="638" t="s">
        <v>224</v>
      </c>
      <c r="D345" s="625" t="s">
        <v>225</v>
      </c>
      <c r="E345" s="626"/>
      <c r="F345" s="275">
        <v>103</v>
      </c>
      <c r="G345" s="711"/>
      <c r="H345" s="711"/>
      <c r="Q345"/>
      <c r="R345"/>
      <c r="S345"/>
      <c r="T345"/>
      <c r="U345"/>
      <c r="V345"/>
      <c r="W345"/>
      <c r="X345"/>
      <c r="Y345"/>
      <c r="Z345"/>
      <c r="AA345"/>
    </row>
    <row r="346" spans="1:27" ht="17.100000000000001" customHeight="1" x14ac:dyDescent="0.3">
      <c r="A346" s="707"/>
      <c r="B346" s="708"/>
      <c r="C346" s="639"/>
      <c r="D346" s="634" t="s">
        <v>195</v>
      </c>
      <c r="E346" s="635"/>
      <c r="F346" s="712">
        <v>51</v>
      </c>
      <c r="G346" s="711"/>
      <c r="H346" s="711"/>
      <c r="Q346"/>
      <c r="R346"/>
      <c r="S346"/>
      <c r="T346"/>
      <c r="U346"/>
      <c r="V346"/>
      <c r="W346"/>
      <c r="X346"/>
      <c r="Y346"/>
      <c r="Z346"/>
      <c r="AA346"/>
    </row>
    <row r="347" spans="1:27" ht="17.100000000000001" customHeight="1" x14ac:dyDescent="0.3">
      <c r="A347" s="707"/>
      <c r="B347" s="708"/>
      <c r="C347" s="307" t="s">
        <v>196</v>
      </c>
      <c r="D347" s="636"/>
      <c r="E347" s="637"/>
      <c r="F347" s="713"/>
      <c r="G347" s="711"/>
      <c r="H347" s="711"/>
      <c r="Q347"/>
      <c r="R347"/>
      <c r="S347"/>
      <c r="T347"/>
      <c r="U347"/>
      <c r="V347"/>
      <c r="W347"/>
      <c r="X347"/>
      <c r="Y347"/>
      <c r="Z347"/>
      <c r="AA347"/>
    </row>
    <row r="348" spans="1:27" ht="17.100000000000001" customHeight="1" x14ac:dyDescent="0.3">
      <c r="A348" s="707"/>
      <c r="B348" s="708"/>
      <c r="C348" s="308" t="s">
        <v>197</v>
      </c>
      <c r="D348" s="640" t="s">
        <v>198</v>
      </c>
      <c r="E348" s="641"/>
      <c r="F348" s="309">
        <v>1</v>
      </c>
      <c r="G348" s="711"/>
      <c r="H348" s="711"/>
      <c r="Q348"/>
      <c r="R348"/>
      <c r="S348"/>
      <c r="T348"/>
      <c r="U348"/>
      <c r="V348"/>
      <c r="W348"/>
      <c r="X348"/>
      <c r="Y348"/>
      <c r="Z348"/>
      <c r="AA348"/>
    </row>
    <row r="349" spans="1:27" ht="14.4" x14ac:dyDescent="0.3">
      <c r="A349" s="707"/>
      <c r="B349" s="708"/>
      <c r="C349" s="714" t="s">
        <v>199</v>
      </c>
      <c r="D349" s="716" t="s">
        <v>200</v>
      </c>
      <c r="E349" s="717"/>
      <c r="F349" s="307" t="s">
        <v>201</v>
      </c>
      <c r="G349" s="711"/>
      <c r="H349" s="711"/>
      <c r="Q349"/>
      <c r="R349"/>
      <c r="S349"/>
      <c r="T349"/>
      <c r="U349"/>
      <c r="V349"/>
      <c r="W349"/>
      <c r="X349"/>
      <c r="Y349"/>
      <c r="Z349"/>
      <c r="AA349"/>
    </row>
    <row r="350" spans="1:27" ht="17.100000000000001" customHeight="1" x14ac:dyDescent="0.3">
      <c r="A350" s="709"/>
      <c r="B350" s="710"/>
      <c r="C350" s="715"/>
      <c r="D350" s="718"/>
      <c r="E350" s="719"/>
      <c r="F350" s="310">
        <v>44216</v>
      </c>
      <c r="G350" s="711"/>
      <c r="H350" s="711"/>
      <c r="Q350"/>
      <c r="R350"/>
      <c r="S350"/>
      <c r="T350"/>
      <c r="U350"/>
      <c r="V350"/>
      <c r="W350"/>
      <c r="X350"/>
      <c r="Y350"/>
      <c r="Z350"/>
      <c r="AA350"/>
    </row>
    <row r="351" spans="1:27" ht="17.100000000000001" customHeight="1" thickBot="1" x14ac:dyDescent="0.35">
      <c r="A351" s="720"/>
      <c r="B351" s="721"/>
      <c r="C351" s="721"/>
      <c r="D351" s="721"/>
      <c r="E351" s="721"/>
      <c r="F351" s="721"/>
      <c r="G351" s="721"/>
      <c r="H351" s="722"/>
      <c r="Q351"/>
      <c r="R351"/>
      <c r="S351"/>
      <c r="T351"/>
      <c r="U351"/>
      <c r="V351"/>
      <c r="W351"/>
      <c r="X351"/>
      <c r="Y351"/>
      <c r="Z351"/>
      <c r="AA351"/>
    </row>
    <row r="352" spans="1:27" ht="24.75" customHeight="1" x14ac:dyDescent="0.3">
      <c r="A352" s="723" t="str">
        <f>Presupuesto!A8</f>
        <v>ADECUACION Y MEJORAMIENTO DE AULAS ESCOLARES UBICADA EN LA INSTITUCION EDUCATIVA TECNICO COMERCIAL LA DORADA SEDE ESCUELA CENTRAL DEL MUNICIPIO DE SAN MIGUEL PUTUMAYO</v>
      </c>
      <c r="B352" s="724"/>
      <c r="C352" s="724"/>
      <c r="D352" s="724"/>
      <c r="E352" s="724"/>
      <c r="F352" s="724"/>
      <c r="G352" s="724"/>
      <c r="H352" s="725"/>
      <c r="Q352"/>
      <c r="R352"/>
      <c r="S352"/>
      <c r="T352"/>
      <c r="U352"/>
      <c r="V352"/>
      <c r="W352"/>
      <c r="X352"/>
      <c r="Y352"/>
      <c r="Z352"/>
      <c r="AA352"/>
    </row>
    <row r="353" spans="1:27" ht="18" customHeight="1" thickBot="1" x14ac:dyDescent="0.35">
      <c r="A353" s="726"/>
      <c r="B353" s="727"/>
      <c r="C353" s="727"/>
      <c r="D353" s="727"/>
      <c r="E353" s="727"/>
      <c r="F353" s="727"/>
      <c r="G353" s="727"/>
      <c r="H353" s="728"/>
      <c r="Q353"/>
      <c r="R353"/>
      <c r="S353"/>
      <c r="T353"/>
      <c r="U353"/>
      <c r="V353"/>
      <c r="W353"/>
      <c r="X353"/>
      <c r="Y353"/>
      <c r="Z353"/>
      <c r="AA353"/>
    </row>
    <row r="354" spans="1:27" ht="17.100000000000001" customHeight="1" thickBot="1" x14ac:dyDescent="0.35">
      <c r="A354" s="273"/>
      <c r="B354" s="274"/>
      <c r="C354" s="274"/>
      <c r="D354" s="274"/>
      <c r="E354" s="274"/>
      <c r="F354" s="274"/>
      <c r="G354" s="274"/>
      <c r="H354" s="443"/>
      <c r="Q354"/>
      <c r="R354"/>
      <c r="S354"/>
      <c r="T354"/>
      <c r="U354"/>
      <c r="V354"/>
      <c r="W354"/>
      <c r="X354"/>
      <c r="Y354"/>
      <c r="Z354"/>
      <c r="AA354"/>
    </row>
    <row r="355" spans="1:27" ht="17.100000000000001" customHeight="1" thickBot="1" x14ac:dyDescent="0.35">
      <c r="A355" s="729" t="s">
        <v>26</v>
      </c>
      <c r="B355" s="730"/>
      <c r="C355" s="730"/>
      <c r="D355" s="730"/>
      <c r="E355" s="730"/>
      <c r="F355" s="730"/>
      <c r="G355" s="730"/>
      <c r="H355" s="731"/>
      <c r="Q355"/>
      <c r="R355"/>
      <c r="S355"/>
      <c r="T355"/>
      <c r="U355"/>
      <c r="V355"/>
      <c r="W355"/>
      <c r="X355"/>
      <c r="Y355"/>
      <c r="Z355"/>
      <c r="AA355"/>
    </row>
    <row r="356" spans="1:27" ht="17.100000000000001" customHeight="1" thickBot="1" x14ac:dyDescent="0.35">
      <c r="A356" s="247"/>
      <c r="H356" s="370"/>
      <c r="Q356"/>
      <c r="R356"/>
      <c r="S356"/>
      <c r="T356"/>
      <c r="U356"/>
      <c r="V356"/>
      <c r="W356"/>
      <c r="X356"/>
      <c r="Y356"/>
      <c r="Z356"/>
      <c r="AA356"/>
    </row>
    <row r="357" spans="1:27" ht="17.100000000000001" customHeight="1" thickBot="1" x14ac:dyDescent="0.35">
      <c r="A357" s="351">
        <f>Presupuesto!A21</f>
        <v>1.7</v>
      </c>
      <c r="B357" s="732" t="str">
        <f>Presupuesto!B21</f>
        <v>RETIRO Y DISPOSICION DE MATERIAL SOBRANTE</v>
      </c>
      <c r="C357" s="733"/>
      <c r="D357" s="733"/>
      <c r="E357" s="733"/>
      <c r="F357" s="734"/>
      <c r="G357" s="352" t="s">
        <v>28</v>
      </c>
      <c r="H357" s="444" t="str">
        <f>Presupuesto!D21</f>
        <v>M3</v>
      </c>
      <c r="Q357"/>
      <c r="R357"/>
      <c r="S357"/>
      <c r="T357"/>
      <c r="U357"/>
      <c r="V357"/>
      <c r="W357"/>
      <c r="X357"/>
      <c r="Y357"/>
      <c r="Z357"/>
      <c r="AA357"/>
    </row>
    <row r="358" spans="1:27" ht="17.100000000000001" customHeight="1" x14ac:dyDescent="0.3">
      <c r="A358" s="247"/>
      <c r="H358" s="370"/>
      <c r="Q358"/>
      <c r="R358"/>
      <c r="S358"/>
      <c r="T358"/>
      <c r="U358"/>
      <c r="V358"/>
      <c r="W358"/>
      <c r="X358"/>
      <c r="Y358"/>
      <c r="Z358"/>
      <c r="AA358"/>
    </row>
    <row r="359" spans="1:27" ht="17.100000000000001" customHeight="1" x14ac:dyDescent="0.3">
      <c r="A359" s="206" t="s">
        <v>29</v>
      </c>
      <c r="B359" s="704" t="s">
        <v>30</v>
      </c>
      <c r="C359" s="704"/>
      <c r="D359" s="704"/>
      <c r="E359" s="704"/>
      <c r="F359" s="704"/>
      <c r="G359" s="704"/>
      <c r="H359" s="370"/>
      <c r="Q359"/>
      <c r="R359"/>
      <c r="S359"/>
      <c r="T359"/>
      <c r="U359"/>
      <c r="V359"/>
      <c r="W359"/>
      <c r="X359"/>
      <c r="Y359"/>
      <c r="Z359"/>
      <c r="AA359"/>
    </row>
    <row r="360" spans="1:27" ht="17.100000000000001" customHeight="1" x14ac:dyDescent="0.3">
      <c r="A360" s="225"/>
      <c r="B360" s="735" t="s">
        <v>31</v>
      </c>
      <c r="C360" s="736"/>
      <c r="D360" s="225" t="s">
        <v>32</v>
      </c>
      <c r="E360" s="225" t="s">
        <v>33</v>
      </c>
      <c r="F360" s="225" t="s">
        <v>34</v>
      </c>
      <c r="G360" s="225" t="s">
        <v>35</v>
      </c>
      <c r="H360" s="370"/>
      <c r="Q360"/>
      <c r="R360"/>
      <c r="S360"/>
      <c r="T360"/>
      <c r="U360"/>
      <c r="V360"/>
      <c r="W360"/>
      <c r="X360"/>
      <c r="Y360"/>
      <c r="Z360"/>
      <c r="AA360"/>
    </row>
    <row r="361" spans="1:27" ht="17.100000000000001" customHeight="1" x14ac:dyDescent="0.3">
      <c r="A361" s="199"/>
      <c r="B361" s="737" t="s">
        <v>67</v>
      </c>
      <c r="C361" s="738"/>
      <c r="D361" s="199"/>
      <c r="E361" s="207"/>
      <c r="F361" s="207">
        <v>0.1</v>
      </c>
      <c r="G361" s="218">
        <f>ROUND((H378*F361),2)</f>
        <v>1330</v>
      </c>
      <c r="H361" s="370"/>
      <c r="Q361"/>
      <c r="R361"/>
      <c r="S361"/>
      <c r="T361"/>
      <c r="U361"/>
      <c r="V361"/>
      <c r="W361"/>
      <c r="X361"/>
      <c r="Y361"/>
      <c r="Z361"/>
      <c r="AA361"/>
    </row>
    <row r="362" spans="1:27" ht="17.100000000000001" customHeight="1" x14ac:dyDescent="0.25">
      <c r="A362" s="199"/>
      <c r="B362" s="735"/>
      <c r="C362" s="736"/>
      <c r="D362" s="199"/>
      <c r="E362" s="207"/>
      <c r="F362" s="207"/>
      <c r="G362" s="207"/>
      <c r="H362" s="370"/>
    </row>
    <row r="363" spans="1:27" ht="17.100000000000001" customHeight="1" x14ac:dyDescent="0.25">
      <c r="A363" s="199"/>
      <c r="B363" s="735"/>
      <c r="C363" s="736"/>
      <c r="D363" s="199"/>
      <c r="E363" s="207"/>
      <c r="F363" s="207"/>
      <c r="G363" s="207"/>
      <c r="H363" s="370"/>
    </row>
    <row r="364" spans="1:27" ht="17.100000000000001" customHeight="1" x14ac:dyDescent="0.25">
      <c r="A364" s="248"/>
      <c r="E364" s="208" t="s">
        <v>36</v>
      </c>
      <c r="F364" s="208"/>
      <c r="G364" s="208"/>
      <c r="H364" s="370">
        <f>SUM(G361:G363)</f>
        <v>1330</v>
      </c>
    </row>
    <row r="365" spans="1:27" ht="17.100000000000001" customHeight="1" x14ac:dyDescent="0.25">
      <c r="A365" s="206" t="s">
        <v>37</v>
      </c>
      <c r="B365" s="704" t="s">
        <v>38</v>
      </c>
      <c r="C365" s="704"/>
      <c r="D365" s="704"/>
      <c r="E365" s="704"/>
      <c r="F365" s="704"/>
      <c r="G365" s="704"/>
      <c r="H365" s="370"/>
    </row>
    <row r="366" spans="1:27" ht="17.100000000000001" customHeight="1" x14ac:dyDescent="0.25">
      <c r="A366" s="225"/>
      <c r="B366" s="735" t="s">
        <v>31</v>
      </c>
      <c r="C366" s="736"/>
      <c r="D366" s="199" t="s">
        <v>12</v>
      </c>
      <c r="E366" s="209" t="s">
        <v>39</v>
      </c>
      <c r="F366" s="209" t="s">
        <v>40</v>
      </c>
      <c r="G366" s="209" t="s">
        <v>35</v>
      </c>
      <c r="H366" s="370"/>
    </row>
    <row r="367" spans="1:27" ht="17.100000000000001" customHeight="1" x14ac:dyDescent="0.25">
      <c r="A367" s="199"/>
      <c r="B367" s="739"/>
      <c r="C367" s="740"/>
      <c r="D367" s="417"/>
      <c r="E367" s="418"/>
      <c r="F367" s="207"/>
      <c r="G367" s="207">
        <f>ROUND((E367*F367),2)</f>
        <v>0</v>
      </c>
      <c r="H367" s="370"/>
    </row>
    <row r="368" spans="1:27" ht="17.100000000000001" customHeight="1" x14ac:dyDescent="0.25">
      <c r="A368" s="199"/>
      <c r="B368" s="739"/>
      <c r="C368" s="740"/>
      <c r="D368" s="221"/>
      <c r="E368" s="207"/>
      <c r="F368" s="207"/>
      <c r="G368" s="207">
        <f>ROUND((E368*F368),2)</f>
        <v>0</v>
      </c>
      <c r="H368" s="370"/>
    </row>
    <row r="369" spans="1:8" ht="17.100000000000001" customHeight="1" x14ac:dyDescent="0.25">
      <c r="A369" s="199"/>
      <c r="B369" s="739"/>
      <c r="C369" s="740"/>
      <c r="D369" s="221"/>
      <c r="E369" s="221"/>
      <c r="F369" s="221"/>
      <c r="G369" s="207">
        <f>ROUND((E369*F369),2)</f>
        <v>0</v>
      </c>
      <c r="H369" s="370"/>
    </row>
    <row r="370" spans="1:8" ht="17.100000000000001" customHeight="1" x14ac:dyDescent="0.25">
      <c r="A370" s="199"/>
      <c r="B370" s="746"/>
      <c r="C370" s="747"/>
      <c r="D370" s="199"/>
      <c r="E370" s="207"/>
      <c r="F370" s="207"/>
      <c r="G370" s="207"/>
      <c r="H370" s="370"/>
    </row>
    <row r="371" spans="1:8" ht="17.100000000000001" customHeight="1" x14ac:dyDescent="0.25">
      <c r="A371" s="199"/>
      <c r="B371" s="746"/>
      <c r="C371" s="747"/>
      <c r="D371" s="199"/>
      <c r="E371" s="207"/>
      <c r="F371" s="207"/>
      <c r="G371" s="207"/>
      <c r="H371" s="370"/>
    </row>
    <row r="372" spans="1:8" ht="17.100000000000001" customHeight="1" x14ac:dyDescent="0.25">
      <c r="A372" s="248" t="s">
        <v>41</v>
      </c>
      <c r="E372" s="208" t="s">
        <v>42</v>
      </c>
      <c r="F372" s="208"/>
      <c r="G372" s="208"/>
      <c r="H372" s="370">
        <f>(SUM(G367:G369))</f>
        <v>0</v>
      </c>
    </row>
    <row r="373" spans="1:8" ht="17.100000000000001" customHeight="1" x14ac:dyDescent="0.25">
      <c r="A373" s="206" t="s">
        <v>43</v>
      </c>
      <c r="B373" s="704" t="s">
        <v>44</v>
      </c>
      <c r="C373" s="704"/>
      <c r="D373" s="704"/>
      <c r="E373" s="704"/>
      <c r="F373" s="704"/>
      <c r="G373" s="704"/>
      <c r="H373" s="370"/>
    </row>
    <row r="374" spans="1:8" ht="17.100000000000001" customHeight="1" x14ac:dyDescent="0.25">
      <c r="A374" s="199" t="s">
        <v>45</v>
      </c>
      <c r="B374" s="225" t="s">
        <v>31</v>
      </c>
      <c r="C374" s="225" t="s">
        <v>46</v>
      </c>
      <c r="D374" s="225" t="s">
        <v>47</v>
      </c>
      <c r="E374" s="209" t="s">
        <v>48</v>
      </c>
      <c r="F374" s="207" t="s">
        <v>34</v>
      </c>
      <c r="G374" s="207" t="s">
        <v>35</v>
      </c>
      <c r="H374" s="370"/>
    </row>
    <row r="375" spans="1:8" ht="17.100000000000001" customHeight="1" x14ac:dyDescent="0.25">
      <c r="A375" s="199">
        <v>1</v>
      </c>
      <c r="B375" s="199" t="s">
        <v>189</v>
      </c>
      <c r="C375" s="211">
        <v>70000</v>
      </c>
      <c r="D375" s="212">
        <v>0.75</v>
      </c>
      <c r="E375" s="210">
        <f>+(A375*C375)+(A375*C375*D375)</f>
        <v>122500</v>
      </c>
      <c r="F375" s="213">
        <v>25</v>
      </c>
      <c r="G375" s="218">
        <f>ROUND(((E375)/(F375)),2)</f>
        <v>4900</v>
      </c>
      <c r="H375" s="370"/>
    </row>
    <row r="376" spans="1:8" ht="17.100000000000001" customHeight="1" x14ac:dyDescent="0.25">
      <c r="A376" s="199">
        <v>1</v>
      </c>
      <c r="B376" s="199" t="s">
        <v>233</v>
      </c>
      <c r="C376" s="211">
        <v>120000</v>
      </c>
      <c r="D376" s="212">
        <v>0.75</v>
      </c>
      <c r="E376" s="210">
        <f>+(A376*C376)+(A376*C376*D376)</f>
        <v>210000</v>
      </c>
      <c r="F376" s="213">
        <v>25</v>
      </c>
      <c r="G376" s="218">
        <f>ROUND(((E376)/(F376)),2)</f>
        <v>8400</v>
      </c>
      <c r="H376" s="370"/>
    </row>
    <row r="377" spans="1:8" ht="17.100000000000001" customHeight="1" x14ac:dyDescent="0.25">
      <c r="A377" s="199"/>
      <c r="B377" s="199"/>
      <c r="C377" s="199"/>
      <c r="D377" s="199"/>
      <c r="E377" s="207"/>
      <c r="F377" s="207"/>
      <c r="G377" s="207"/>
      <c r="H377" s="370"/>
    </row>
    <row r="378" spans="1:8" ht="17.100000000000001" customHeight="1" x14ac:dyDescent="0.25">
      <c r="A378" s="248"/>
      <c r="E378" s="208" t="s">
        <v>50</v>
      </c>
      <c r="F378" s="208"/>
      <c r="G378" s="208"/>
      <c r="H378" s="370">
        <f>SUM(G375)+(G376)</f>
        <v>13300</v>
      </c>
    </row>
    <row r="379" spans="1:8" ht="17.100000000000001" customHeight="1" x14ac:dyDescent="0.25">
      <c r="A379" s="206" t="s">
        <v>51</v>
      </c>
      <c r="B379" s="704" t="s">
        <v>18</v>
      </c>
      <c r="C379" s="704"/>
      <c r="D379" s="704"/>
      <c r="E379" s="704"/>
      <c r="F379" s="704"/>
      <c r="G379" s="704"/>
      <c r="H379" s="370"/>
    </row>
    <row r="380" spans="1:8" ht="17.100000000000001" customHeight="1" x14ac:dyDescent="0.25">
      <c r="A380" s="199"/>
      <c r="B380" s="199" t="s">
        <v>31</v>
      </c>
      <c r="C380" s="225" t="s">
        <v>12</v>
      </c>
      <c r="D380" s="225" t="s">
        <v>13</v>
      </c>
      <c r="E380" s="225" t="s">
        <v>52</v>
      </c>
      <c r="F380" s="225"/>
      <c r="G380" s="207" t="s">
        <v>53</v>
      </c>
      <c r="H380" s="370"/>
    </row>
    <row r="381" spans="1:8" ht="17.100000000000001" customHeight="1" x14ac:dyDescent="0.25">
      <c r="A381" s="199"/>
      <c r="B381" s="199" t="s">
        <v>394</v>
      </c>
      <c r="C381" s="499" t="s">
        <v>232</v>
      </c>
      <c r="D381" s="199">
        <v>1</v>
      </c>
      <c r="E381" s="207">
        <v>25000</v>
      </c>
      <c r="F381" s="207"/>
      <c r="G381" s="207">
        <f>+E381*D381</f>
        <v>25000</v>
      </c>
      <c r="H381" s="370"/>
    </row>
    <row r="382" spans="1:8" ht="17.100000000000001" customHeight="1" x14ac:dyDescent="0.25">
      <c r="A382" s="199"/>
      <c r="B382" s="199"/>
      <c r="C382" s="210"/>
      <c r="D382" s="199"/>
      <c r="E382" s="207"/>
      <c r="F382" s="207"/>
      <c r="G382" s="207"/>
      <c r="H382" s="370"/>
    </row>
    <row r="383" spans="1:8" ht="17.100000000000001" customHeight="1" x14ac:dyDescent="0.25">
      <c r="A383" s="199"/>
      <c r="B383" s="199"/>
      <c r="C383" s="199"/>
      <c r="D383" s="199"/>
      <c r="E383" s="207"/>
      <c r="F383" s="207"/>
      <c r="G383" s="207"/>
      <c r="H383" s="370"/>
    </row>
    <row r="384" spans="1:8" ht="17.100000000000001" customHeight="1" x14ac:dyDescent="0.25">
      <c r="A384" s="248"/>
      <c r="E384" s="208" t="s">
        <v>50</v>
      </c>
      <c r="F384" s="208"/>
      <c r="G384" s="208"/>
      <c r="H384" s="370">
        <f>ROUND(SUM(G381)+(G382),0)</f>
        <v>25000</v>
      </c>
    </row>
    <row r="385" spans="1:8" ht="17.100000000000001" customHeight="1" x14ac:dyDescent="0.25">
      <c r="A385" s="247"/>
      <c r="E385" s="208"/>
      <c r="F385" s="208"/>
      <c r="G385" s="208"/>
      <c r="H385" s="370"/>
    </row>
    <row r="386" spans="1:8" ht="17.100000000000001" customHeight="1" x14ac:dyDescent="0.25">
      <c r="A386" s="247"/>
      <c r="D386" s="215" t="s">
        <v>54</v>
      </c>
      <c r="E386" s="216"/>
      <c r="F386" s="216"/>
      <c r="G386" s="216"/>
      <c r="H386" s="370">
        <f>ROUND((SUM(H364:H385)),2)</f>
        <v>39630</v>
      </c>
    </row>
    <row r="387" spans="1:8" ht="17.100000000000001" customHeight="1" x14ac:dyDescent="0.25">
      <c r="A387" s="247"/>
      <c r="E387" s="208"/>
      <c r="F387" s="208"/>
      <c r="G387" s="208"/>
      <c r="H387" s="370"/>
    </row>
    <row r="388" spans="1:8" ht="17.100000000000001" customHeight="1" x14ac:dyDescent="0.25">
      <c r="A388" s="206" t="s">
        <v>55</v>
      </c>
      <c r="B388" s="704" t="s">
        <v>56</v>
      </c>
      <c r="C388" s="704"/>
      <c r="D388" s="704"/>
      <c r="E388" s="704"/>
      <c r="F388" s="704"/>
      <c r="G388" s="704"/>
      <c r="H388" s="370"/>
    </row>
    <row r="389" spans="1:8" ht="17.100000000000001" customHeight="1" x14ac:dyDescent="0.25">
      <c r="A389" s="225"/>
      <c r="B389" s="225" t="s">
        <v>31</v>
      </c>
      <c r="C389" s="225" t="s">
        <v>57</v>
      </c>
      <c r="D389" s="199" t="s">
        <v>58</v>
      </c>
      <c r="E389" s="207"/>
      <c r="F389" s="207" t="s">
        <v>59</v>
      </c>
      <c r="G389" s="207"/>
      <c r="H389" s="370"/>
    </row>
    <row r="390" spans="1:8" ht="17.100000000000001" customHeight="1" x14ac:dyDescent="0.25">
      <c r="A390" s="199"/>
      <c r="B390" s="225" t="s">
        <v>60</v>
      </c>
      <c r="C390" s="212">
        <v>0.28000000000000003</v>
      </c>
      <c r="D390" s="199"/>
      <c r="E390" s="210"/>
      <c r="F390" s="199"/>
      <c r="G390" s="218">
        <f>ROUND((H386*C390),2)</f>
        <v>11096.4</v>
      </c>
      <c r="H390" s="370"/>
    </row>
    <row r="391" spans="1:8" ht="17.100000000000001" customHeight="1" x14ac:dyDescent="0.25">
      <c r="A391" s="199"/>
      <c r="B391" s="225" t="s">
        <v>61</v>
      </c>
      <c r="C391" s="212">
        <v>0.01</v>
      </c>
      <c r="D391" s="199"/>
      <c r="E391" s="210"/>
      <c r="F391" s="199"/>
      <c r="G391" s="218">
        <f>ROUND((H386*C391),2)</f>
        <v>396.3</v>
      </c>
      <c r="H391" s="370"/>
    </row>
    <row r="392" spans="1:8" ht="17.100000000000001" customHeight="1" x14ac:dyDescent="0.25">
      <c r="A392" s="199"/>
      <c r="B392" s="225" t="s">
        <v>62</v>
      </c>
      <c r="C392" s="212">
        <v>0.03</v>
      </c>
      <c r="D392" s="199"/>
      <c r="E392" s="210"/>
      <c r="F392" s="199"/>
      <c r="G392" s="218">
        <f>ROUND((H386*C392),2)</f>
        <v>1188.9000000000001</v>
      </c>
      <c r="H392" s="370"/>
    </row>
    <row r="393" spans="1:8" ht="17.100000000000001" customHeight="1" x14ac:dyDescent="0.25">
      <c r="A393" s="247"/>
      <c r="D393" s="215" t="s">
        <v>63</v>
      </c>
      <c r="E393" s="216"/>
      <c r="F393" s="216"/>
      <c r="G393" s="216"/>
      <c r="H393" s="370">
        <f>SUM(G389:G392)</f>
        <v>12681.599999999999</v>
      </c>
    </row>
    <row r="394" spans="1:8" ht="17.100000000000001" customHeight="1" x14ac:dyDescent="0.25">
      <c r="A394" s="247"/>
      <c r="E394" s="208"/>
      <c r="F394" s="208"/>
      <c r="G394" s="208"/>
      <c r="H394" s="370"/>
    </row>
    <row r="395" spans="1:8" ht="17.100000000000001" customHeight="1" x14ac:dyDescent="0.25">
      <c r="A395" s="247"/>
      <c r="D395" s="215" t="s">
        <v>64</v>
      </c>
      <c r="E395" s="216"/>
      <c r="F395" s="216"/>
      <c r="G395" s="208"/>
      <c r="H395" s="370">
        <f>H386+H393</f>
        <v>52311.6</v>
      </c>
    </row>
    <row r="396" spans="1:8" ht="17.100000000000001" customHeight="1" x14ac:dyDescent="0.25">
      <c r="A396" s="247"/>
      <c r="D396" s="215"/>
      <c r="E396" s="216"/>
      <c r="F396" s="216"/>
      <c r="G396" s="208"/>
      <c r="H396" s="370"/>
    </row>
    <row r="397" spans="1:8" ht="17.100000000000001" customHeight="1" x14ac:dyDescent="0.25">
      <c r="A397" s="205"/>
      <c r="B397" s="204"/>
      <c r="E397" s="219"/>
      <c r="F397" s="220"/>
      <c r="G397" s="203"/>
      <c r="H397" s="370"/>
    </row>
    <row r="398" spans="1:8" ht="17.100000000000001" customHeight="1" x14ac:dyDescent="0.25">
      <c r="A398" s="249" t="str">
        <f>+A340</f>
        <v>ING JHON ALEXANDER ARIAS</v>
      </c>
      <c r="B398" s="217"/>
      <c r="E398" s="216" t="str">
        <f>Presupuesto!D65</f>
        <v>ARQ. GUILLERMO YAMID VALLEJOS BENAVIDES</v>
      </c>
      <c r="F398" s="208"/>
      <c r="G398" s="208"/>
      <c r="H398" s="370"/>
    </row>
    <row r="399" spans="1:8" ht="16.5" customHeight="1" x14ac:dyDescent="0.25">
      <c r="A399" s="250" t="str">
        <f t="shared" ref="A399:A400" si="7">+A341</f>
        <v>APOYO PROFESIONAL SPOPM</v>
      </c>
      <c r="B399" s="217"/>
      <c r="E399" s="208" t="str">
        <f>Presupuesto!D66</f>
        <v>SECRETARIO DE PLANEACION Y OBRAS PUBLICAS</v>
      </c>
      <c r="F399" s="208"/>
      <c r="G399" s="208"/>
      <c r="H399" s="370"/>
    </row>
    <row r="400" spans="1:8" ht="17.100000000000001" customHeight="1" x14ac:dyDescent="0.25">
      <c r="A400" s="250" t="str">
        <f t="shared" si="7"/>
        <v>MP 111037-0703225 NRÑ</v>
      </c>
      <c r="B400" s="580"/>
      <c r="C400" s="579"/>
      <c r="D400" s="579"/>
      <c r="E400" s="581" t="str">
        <f>Presupuesto!D67</f>
        <v>SAN MIGUEL - PUTUMAYO</v>
      </c>
      <c r="F400" s="581"/>
      <c r="G400" s="581"/>
      <c r="H400" s="516"/>
    </row>
    <row r="401" spans="1:27" ht="17.100000000000001" customHeight="1" x14ac:dyDescent="0.25">
      <c r="A401" s="217"/>
      <c r="B401" s="217"/>
      <c r="E401" s="208"/>
      <c r="F401" s="208"/>
      <c r="G401" s="208"/>
    </row>
    <row r="402" spans="1:27" ht="16.5" customHeight="1" x14ac:dyDescent="0.25">
      <c r="B402" s="217"/>
      <c r="E402" s="208"/>
      <c r="F402" s="208"/>
      <c r="G402" s="208"/>
      <c r="H402" s="370"/>
    </row>
    <row r="403" spans="1:27" ht="16.5" customHeight="1" x14ac:dyDescent="0.25">
      <c r="B403" s="217"/>
      <c r="E403" s="208"/>
      <c r="F403" s="208"/>
      <c r="G403" s="208"/>
      <c r="H403" s="370"/>
    </row>
    <row r="404" spans="1:27" ht="16.5" customHeight="1" x14ac:dyDescent="0.25">
      <c r="B404" s="217"/>
      <c r="E404" s="208"/>
      <c r="F404" s="208"/>
      <c r="G404" s="208"/>
      <c r="H404" s="370"/>
    </row>
    <row r="405" spans="1:27" ht="17.100000000000001" customHeight="1" x14ac:dyDescent="0.3">
      <c r="A405" s="705"/>
      <c r="B405" s="706"/>
      <c r="C405" s="638" t="s">
        <v>224</v>
      </c>
      <c r="D405" s="625" t="s">
        <v>225</v>
      </c>
      <c r="E405" s="626"/>
      <c r="F405" s="275">
        <v>103</v>
      </c>
      <c r="G405" s="711"/>
      <c r="H405" s="711"/>
      <c r="Q405"/>
      <c r="R405"/>
      <c r="S405"/>
      <c r="T405"/>
      <c r="U405"/>
      <c r="V405"/>
      <c r="W405"/>
      <c r="X405"/>
      <c r="Y405"/>
      <c r="Z405"/>
      <c r="AA405"/>
    </row>
    <row r="406" spans="1:27" ht="17.100000000000001" customHeight="1" x14ac:dyDescent="0.3">
      <c r="A406" s="707"/>
      <c r="B406" s="708"/>
      <c r="C406" s="639"/>
      <c r="D406" s="634" t="s">
        <v>195</v>
      </c>
      <c r="E406" s="635"/>
      <c r="F406" s="712">
        <v>51</v>
      </c>
      <c r="G406" s="711"/>
      <c r="H406" s="711"/>
      <c r="Q406"/>
      <c r="R406"/>
      <c r="S406"/>
      <c r="T406"/>
      <c r="U406"/>
      <c r="V406"/>
      <c r="W406"/>
      <c r="X406"/>
      <c r="Y406"/>
      <c r="Z406"/>
      <c r="AA406"/>
    </row>
    <row r="407" spans="1:27" ht="17.100000000000001" customHeight="1" x14ac:dyDescent="0.3">
      <c r="A407" s="707"/>
      <c r="B407" s="708"/>
      <c r="C407" s="307" t="s">
        <v>196</v>
      </c>
      <c r="D407" s="636"/>
      <c r="E407" s="637"/>
      <c r="F407" s="713"/>
      <c r="G407" s="711"/>
      <c r="H407" s="711"/>
      <c r="Q407"/>
      <c r="R407"/>
      <c r="S407"/>
      <c r="T407"/>
      <c r="U407"/>
      <c r="V407"/>
      <c r="W407"/>
      <c r="X407"/>
      <c r="Y407"/>
      <c r="Z407"/>
      <c r="AA407"/>
    </row>
    <row r="408" spans="1:27" ht="17.100000000000001" customHeight="1" x14ac:dyDescent="0.3">
      <c r="A408" s="707"/>
      <c r="B408" s="708"/>
      <c r="C408" s="308" t="s">
        <v>197</v>
      </c>
      <c r="D408" s="640" t="s">
        <v>198</v>
      </c>
      <c r="E408" s="641"/>
      <c r="F408" s="309">
        <v>1</v>
      </c>
      <c r="G408" s="711"/>
      <c r="H408" s="711"/>
      <c r="Q408"/>
      <c r="R408"/>
      <c r="S408"/>
      <c r="T408"/>
      <c r="U408"/>
      <c r="V408"/>
      <c r="W408"/>
      <c r="X408"/>
      <c r="Y408"/>
      <c r="Z408"/>
      <c r="AA408"/>
    </row>
    <row r="409" spans="1:27" ht="14.4" x14ac:dyDescent="0.3">
      <c r="A409" s="707"/>
      <c r="B409" s="708"/>
      <c r="C409" s="714" t="s">
        <v>199</v>
      </c>
      <c r="D409" s="716" t="s">
        <v>200</v>
      </c>
      <c r="E409" s="717"/>
      <c r="F409" s="307" t="s">
        <v>201</v>
      </c>
      <c r="G409" s="711"/>
      <c r="H409" s="711"/>
      <c r="Q409"/>
      <c r="R409"/>
      <c r="S409"/>
      <c r="T409"/>
      <c r="U409"/>
      <c r="V409"/>
      <c r="W409"/>
      <c r="X409"/>
      <c r="Y409"/>
      <c r="Z409"/>
      <c r="AA409"/>
    </row>
    <row r="410" spans="1:27" ht="17.100000000000001" customHeight="1" x14ac:dyDescent="0.3">
      <c r="A410" s="709"/>
      <c r="B410" s="710"/>
      <c r="C410" s="715"/>
      <c r="D410" s="718"/>
      <c r="E410" s="719"/>
      <c r="F410" s="310">
        <v>44216</v>
      </c>
      <c r="G410" s="711"/>
      <c r="H410" s="711"/>
      <c r="Q410"/>
      <c r="R410"/>
      <c r="S410"/>
      <c r="T410"/>
      <c r="U410"/>
      <c r="V410"/>
      <c r="W410"/>
      <c r="X410"/>
      <c r="Y410"/>
      <c r="Z410"/>
      <c r="AA410"/>
    </row>
    <row r="411" spans="1:27" ht="17.100000000000001" customHeight="1" thickBot="1" x14ac:dyDescent="0.35">
      <c r="A411" s="720"/>
      <c r="B411" s="721"/>
      <c r="C411" s="721"/>
      <c r="D411" s="721"/>
      <c r="E411" s="721"/>
      <c r="F411" s="721"/>
      <c r="G411" s="721"/>
      <c r="H411" s="722"/>
      <c r="Q411"/>
      <c r="R411"/>
      <c r="S411"/>
      <c r="T411"/>
      <c r="U411"/>
      <c r="V411"/>
      <c r="W411"/>
      <c r="X411"/>
      <c r="Y411"/>
      <c r="Z411"/>
      <c r="AA411"/>
    </row>
    <row r="412" spans="1:27" ht="24.75" customHeight="1" x14ac:dyDescent="0.3">
      <c r="A412" s="723" t="str">
        <f>Presupuesto!A8</f>
        <v>ADECUACION Y MEJORAMIENTO DE AULAS ESCOLARES UBICADA EN LA INSTITUCION EDUCATIVA TECNICO COMERCIAL LA DORADA SEDE ESCUELA CENTRAL DEL MUNICIPIO DE SAN MIGUEL PUTUMAYO</v>
      </c>
      <c r="B412" s="724"/>
      <c r="C412" s="724"/>
      <c r="D412" s="724"/>
      <c r="E412" s="724"/>
      <c r="F412" s="724"/>
      <c r="G412" s="724"/>
      <c r="H412" s="725"/>
      <c r="Q412"/>
      <c r="R412"/>
      <c r="S412"/>
      <c r="T412"/>
      <c r="U412"/>
      <c r="V412"/>
      <c r="W412"/>
      <c r="X412"/>
      <c r="Y412"/>
      <c r="Z412"/>
      <c r="AA412"/>
    </row>
    <row r="413" spans="1:27" ht="18" customHeight="1" thickBot="1" x14ac:dyDescent="0.35">
      <c r="A413" s="726"/>
      <c r="B413" s="727"/>
      <c r="C413" s="727"/>
      <c r="D413" s="727"/>
      <c r="E413" s="727"/>
      <c r="F413" s="727"/>
      <c r="G413" s="727"/>
      <c r="H413" s="728"/>
      <c r="Q413"/>
      <c r="R413"/>
      <c r="S413"/>
      <c r="T413"/>
      <c r="U413"/>
      <c r="V413"/>
      <c r="W413"/>
      <c r="X413"/>
      <c r="Y413"/>
      <c r="Z413"/>
      <c r="AA413"/>
    </row>
    <row r="414" spans="1:27" ht="17.100000000000001" customHeight="1" thickBot="1" x14ac:dyDescent="0.35">
      <c r="A414" s="273"/>
      <c r="B414" s="274"/>
      <c r="C414" s="274"/>
      <c r="D414" s="274"/>
      <c r="E414" s="274"/>
      <c r="F414" s="274"/>
      <c r="G414" s="274"/>
      <c r="H414" s="443"/>
      <c r="Q414"/>
      <c r="R414"/>
      <c r="S414"/>
      <c r="T414"/>
      <c r="U414"/>
      <c r="V414"/>
      <c r="W414"/>
      <c r="X414"/>
      <c r="Y414"/>
      <c r="Z414"/>
      <c r="AA414"/>
    </row>
    <row r="415" spans="1:27" ht="17.100000000000001" customHeight="1" thickBot="1" x14ac:dyDescent="0.35">
      <c r="A415" s="729" t="s">
        <v>26</v>
      </c>
      <c r="B415" s="730"/>
      <c r="C415" s="730"/>
      <c r="D415" s="730"/>
      <c r="E415" s="730"/>
      <c r="F415" s="730"/>
      <c r="G415" s="730"/>
      <c r="H415" s="731"/>
      <c r="Q415"/>
      <c r="R415"/>
      <c r="S415"/>
      <c r="T415"/>
      <c r="U415"/>
      <c r="V415"/>
      <c r="W415"/>
      <c r="X415"/>
      <c r="Y415"/>
      <c r="Z415"/>
      <c r="AA415"/>
    </row>
    <row r="416" spans="1:27" ht="17.100000000000001" customHeight="1" thickBot="1" x14ac:dyDescent="0.35">
      <c r="A416" s="247"/>
      <c r="H416" s="370"/>
      <c r="Q416"/>
      <c r="R416"/>
      <c r="S416"/>
      <c r="T416"/>
      <c r="U416"/>
      <c r="V416"/>
      <c r="W416"/>
      <c r="X416"/>
      <c r="Y416"/>
      <c r="Z416"/>
      <c r="AA416"/>
    </row>
    <row r="417" spans="1:27" ht="17.100000000000001" customHeight="1" thickBot="1" x14ac:dyDescent="0.35">
      <c r="A417" s="351">
        <f>Presupuesto!A24</f>
        <v>2.1</v>
      </c>
      <c r="B417" s="732" t="str">
        <f>Presupuesto!B24</f>
        <v>EXCAVACION MANUAL EN MATERIAL COMUN</v>
      </c>
      <c r="C417" s="733"/>
      <c r="D417" s="733"/>
      <c r="E417" s="733"/>
      <c r="F417" s="734"/>
      <c r="G417" s="352" t="s">
        <v>28</v>
      </c>
      <c r="H417" s="444" t="str">
        <f>Presupuesto!D24</f>
        <v>M3</v>
      </c>
      <c r="Q417"/>
      <c r="R417"/>
      <c r="S417"/>
      <c r="T417"/>
      <c r="U417"/>
      <c r="V417"/>
      <c r="W417"/>
      <c r="X417"/>
      <c r="Y417"/>
      <c r="Z417"/>
      <c r="AA417"/>
    </row>
    <row r="418" spans="1:27" ht="17.100000000000001" customHeight="1" x14ac:dyDescent="0.3">
      <c r="A418" s="247"/>
      <c r="H418" s="370"/>
      <c r="Q418"/>
      <c r="R418"/>
      <c r="S418"/>
      <c r="T418"/>
      <c r="U418"/>
      <c r="V418"/>
      <c r="W418"/>
      <c r="X418"/>
      <c r="Y418"/>
      <c r="Z418"/>
      <c r="AA418"/>
    </row>
    <row r="419" spans="1:27" ht="17.100000000000001" customHeight="1" x14ac:dyDescent="0.3">
      <c r="A419" s="206" t="s">
        <v>29</v>
      </c>
      <c r="B419" s="704" t="s">
        <v>30</v>
      </c>
      <c r="C419" s="704"/>
      <c r="D419" s="704"/>
      <c r="E419" s="704"/>
      <c r="F419" s="704"/>
      <c r="G419" s="704"/>
      <c r="H419" s="370"/>
      <c r="Q419"/>
      <c r="R419"/>
      <c r="S419"/>
      <c r="T419"/>
      <c r="U419"/>
      <c r="V419"/>
      <c r="W419"/>
      <c r="X419"/>
      <c r="Y419"/>
      <c r="Z419"/>
      <c r="AA419"/>
    </row>
    <row r="420" spans="1:27" ht="17.100000000000001" customHeight="1" x14ac:dyDescent="0.3">
      <c r="A420" s="225"/>
      <c r="B420" s="735" t="s">
        <v>31</v>
      </c>
      <c r="C420" s="736"/>
      <c r="D420" s="225" t="s">
        <v>32</v>
      </c>
      <c r="E420" s="225" t="s">
        <v>33</v>
      </c>
      <c r="F420" s="225" t="s">
        <v>34</v>
      </c>
      <c r="G420" s="225" t="s">
        <v>35</v>
      </c>
      <c r="H420" s="370"/>
      <c r="Q420"/>
      <c r="R420"/>
      <c r="S420"/>
      <c r="T420"/>
      <c r="U420"/>
      <c r="V420"/>
      <c r="W420"/>
      <c r="X420"/>
      <c r="Y420"/>
      <c r="Z420"/>
      <c r="AA420"/>
    </row>
    <row r="421" spans="1:27" ht="17.100000000000001" customHeight="1" x14ac:dyDescent="0.3">
      <c r="A421" s="199"/>
      <c r="B421" s="737" t="s">
        <v>67</v>
      </c>
      <c r="C421" s="738"/>
      <c r="D421" s="199"/>
      <c r="E421" s="207"/>
      <c r="F421" s="207">
        <v>0.1</v>
      </c>
      <c r="G421" s="218">
        <f>ROUND((H438*F421),2)</f>
        <v>4156.25</v>
      </c>
      <c r="H421" s="370"/>
      <c r="Q421"/>
      <c r="R421"/>
      <c r="S421"/>
      <c r="T421"/>
      <c r="U421"/>
      <c r="V421"/>
      <c r="W421"/>
      <c r="X421"/>
      <c r="Y421"/>
      <c r="Z421"/>
      <c r="AA421"/>
    </row>
    <row r="422" spans="1:27" ht="17.100000000000001" customHeight="1" x14ac:dyDescent="0.25">
      <c r="A422" s="199"/>
      <c r="B422" s="735"/>
      <c r="C422" s="736"/>
      <c r="D422" s="199"/>
      <c r="E422" s="207"/>
      <c r="F422" s="207"/>
      <c r="G422" s="207"/>
      <c r="H422" s="370"/>
    </row>
    <row r="423" spans="1:27" ht="17.100000000000001" customHeight="1" x14ac:dyDescent="0.25">
      <c r="A423" s="199"/>
      <c r="B423" s="735"/>
      <c r="C423" s="736"/>
      <c r="D423" s="199"/>
      <c r="E423" s="207"/>
      <c r="F423" s="207"/>
      <c r="G423" s="207"/>
      <c r="H423" s="370"/>
    </row>
    <row r="424" spans="1:27" ht="17.100000000000001" customHeight="1" x14ac:dyDescent="0.25">
      <c r="A424" s="248"/>
      <c r="E424" s="208" t="s">
        <v>36</v>
      </c>
      <c r="F424" s="208"/>
      <c r="G424" s="208"/>
      <c r="H424" s="370">
        <f>SUM(G421:G423)</f>
        <v>4156.25</v>
      </c>
    </row>
    <row r="425" spans="1:27" ht="17.100000000000001" customHeight="1" x14ac:dyDescent="0.25">
      <c r="A425" s="206" t="s">
        <v>37</v>
      </c>
      <c r="B425" s="704" t="s">
        <v>38</v>
      </c>
      <c r="C425" s="704"/>
      <c r="D425" s="704"/>
      <c r="E425" s="704"/>
      <c r="F425" s="704"/>
      <c r="G425" s="704"/>
      <c r="H425" s="370"/>
    </row>
    <row r="426" spans="1:27" ht="17.100000000000001" customHeight="1" x14ac:dyDescent="0.25">
      <c r="A426" s="225"/>
      <c r="B426" s="735" t="s">
        <v>31</v>
      </c>
      <c r="C426" s="736"/>
      <c r="D426" s="199" t="s">
        <v>12</v>
      </c>
      <c r="E426" s="209" t="s">
        <v>39</v>
      </c>
      <c r="F426" s="209" t="s">
        <v>40</v>
      </c>
      <c r="G426" s="209" t="s">
        <v>35</v>
      </c>
      <c r="H426" s="370"/>
    </row>
    <row r="427" spans="1:27" ht="17.100000000000001" customHeight="1" x14ac:dyDescent="0.25">
      <c r="A427" s="199"/>
      <c r="B427" s="739"/>
      <c r="C427" s="740"/>
      <c r="D427" s="221"/>
      <c r="E427" s="207"/>
      <c r="F427" s="207"/>
      <c r="G427" s="207">
        <f>ROUND((E427*F427),2)</f>
        <v>0</v>
      </c>
      <c r="H427" s="370"/>
    </row>
    <row r="428" spans="1:27" ht="17.100000000000001" customHeight="1" x14ac:dyDescent="0.25">
      <c r="A428" s="199"/>
      <c r="B428" s="739"/>
      <c r="C428" s="740"/>
      <c r="D428" s="221"/>
      <c r="E428" s="207"/>
      <c r="F428" s="207"/>
      <c r="G428" s="207">
        <f>ROUND((E428*F428),2)</f>
        <v>0</v>
      </c>
      <c r="H428" s="370"/>
    </row>
    <row r="429" spans="1:27" ht="17.100000000000001" customHeight="1" x14ac:dyDescent="0.25">
      <c r="A429" s="199"/>
      <c r="B429" s="739"/>
      <c r="C429" s="740"/>
      <c r="D429" s="221"/>
      <c r="E429" s="221"/>
      <c r="F429" s="221"/>
      <c r="G429" s="207">
        <f>ROUND((E429*F429),2)</f>
        <v>0</v>
      </c>
      <c r="H429" s="370"/>
    </row>
    <row r="430" spans="1:27" ht="17.100000000000001" customHeight="1" x14ac:dyDescent="0.25">
      <c r="A430" s="199"/>
      <c r="B430" s="746"/>
      <c r="C430" s="747"/>
      <c r="D430" s="199"/>
      <c r="E430" s="207"/>
      <c r="F430" s="207"/>
      <c r="G430" s="207"/>
      <c r="H430" s="370"/>
    </row>
    <row r="431" spans="1:27" ht="17.100000000000001" customHeight="1" x14ac:dyDescent="0.25">
      <c r="A431" s="199"/>
      <c r="B431" s="746"/>
      <c r="C431" s="747"/>
      <c r="D431" s="199"/>
      <c r="E431" s="207"/>
      <c r="F431" s="207"/>
      <c r="G431" s="207"/>
      <c r="H431" s="370"/>
    </row>
    <row r="432" spans="1:27" ht="17.100000000000001" customHeight="1" x14ac:dyDescent="0.25">
      <c r="A432" s="248" t="s">
        <v>41</v>
      </c>
      <c r="E432" s="208" t="s">
        <v>42</v>
      </c>
      <c r="F432" s="208"/>
      <c r="G432" s="208"/>
      <c r="H432" s="370">
        <f>(SUM(G427:G429))</f>
        <v>0</v>
      </c>
    </row>
    <row r="433" spans="1:8" ht="17.100000000000001" customHeight="1" x14ac:dyDescent="0.25">
      <c r="A433" s="206" t="s">
        <v>43</v>
      </c>
      <c r="B433" s="704" t="s">
        <v>44</v>
      </c>
      <c r="C433" s="704"/>
      <c r="D433" s="704"/>
      <c r="E433" s="704"/>
      <c r="F433" s="704"/>
      <c r="G433" s="704"/>
      <c r="H433" s="370"/>
    </row>
    <row r="434" spans="1:8" ht="17.100000000000001" customHeight="1" x14ac:dyDescent="0.25">
      <c r="A434" s="199" t="s">
        <v>45</v>
      </c>
      <c r="B434" s="225" t="s">
        <v>31</v>
      </c>
      <c r="C434" s="225" t="s">
        <v>46</v>
      </c>
      <c r="D434" s="225" t="s">
        <v>47</v>
      </c>
      <c r="E434" s="209" t="s">
        <v>48</v>
      </c>
      <c r="F434" s="207" t="s">
        <v>34</v>
      </c>
      <c r="G434" s="207" t="s">
        <v>35</v>
      </c>
      <c r="H434" s="370"/>
    </row>
    <row r="435" spans="1:8" ht="17.100000000000001" customHeight="1" x14ac:dyDescent="0.25">
      <c r="A435" s="199">
        <v>1</v>
      </c>
      <c r="B435" s="199" t="s">
        <v>189</v>
      </c>
      <c r="C435" s="211">
        <v>70000</v>
      </c>
      <c r="D435" s="212">
        <v>0.75</v>
      </c>
      <c r="E435" s="210">
        <f>+(A435*C435)+(A435*C435*D435)</f>
        <v>122500</v>
      </c>
      <c r="F435" s="213">
        <v>8</v>
      </c>
      <c r="G435" s="218">
        <f>ROUND(((E435)/(F435)),2)</f>
        <v>15312.5</v>
      </c>
      <c r="H435" s="370"/>
    </row>
    <row r="436" spans="1:8" ht="17.100000000000001" customHeight="1" x14ac:dyDescent="0.25">
      <c r="A436" s="199">
        <v>1</v>
      </c>
      <c r="B436" s="199" t="s">
        <v>233</v>
      </c>
      <c r="C436" s="211">
        <v>120000</v>
      </c>
      <c r="D436" s="212">
        <v>0.75</v>
      </c>
      <c r="E436" s="210">
        <f>+(A436*C436)+(A436*C436*D436)</f>
        <v>210000</v>
      </c>
      <c r="F436" s="213">
        <v>8</v>
      </c>
      <c r="G436" s="218">
        <f>ROUND(((E436)/(F436)),2)</f>
        <v>26250</v>
      </c>
      <c r="H436" s="370"/>
    </row>
    <row r="437" spans="1:8" ht="17.100000000000001" customHeight="1" x14ac:dyDescent="0.25">
      <c r="A437" s="199"/>
      <c r="B437" s="199"/>
      <c r="C437" s="199"/>
      <c r="D437" s="199"/>
      <c r="E437" s="207"/>
      <c r="F437" s="207"/>
      <c r="G437" s="207"/>
      <c r="H437" s="370"/>
    </row>
    <row r="438" spans="1:8" ht="17.100000000000001" customHeight="1" x14ac:dyDescent="0.25">
      <c r="A438" s="248"/>
      <c r="E438" s="208" t="s">
        <v>50</v>
      </c>
      <c r="F438" s="208"/>
      <c r="G438" s="208"/>
      <c r="H438" s="370">
        <f>SUM(G435)+(G436)</f>
        <v>41562.5</v>
      </c>
    </row>
    <row r="439" spans="1:8" ht="17.100000000000001" customHeight="1" x14ac:dyDescent="0.25">
      <c r="A439" s="206" t="s">
        <v>51</v>
      </c>
      <c r="B439" s="704" t="s">
        <v>18</v>
      </c>
      <c r="C439" s="704"/>
      <c r="D439" s="704"/>
      <c r="E439" s="704"/>
      <c r="F439" s="704"/>
      <c r="G439" s="704"/>
      <c r="H439" s="370"/>
    </row>
    <row r="440" spans="1:8" ht="17.100000000000001" customHeight="1" x14ac:dyDescent="0.25">
      <c r="A440" s="199"/>
      <c r="B440" s="199" t="s">
        <v>31</v>
      </c>
      <c r="C440" s="225" t="s">
        <v>12</v>
      </c>
      <c r="D440" s="225" t="s">
        <v>13</v>
      </c>
      <c r="E440" s="225" t="s">
        <v>52</v>
      </c>
      <c r="F440" s="225"/>
      <c r="G440" s="207" t="s">
        <v>53</v>
      </c>
      <c r="H440" s="370"/>
    </row>
    <row r="441" spans="1:8" ht="17.100000000000001" customHeight="1" x14ac:dyDescent="0.25">
      <c r="A441" s="199"/>
      <c r="B441" s="199"/>
      <c r="C441" s="214"/>
      <c r="D441" s="199"/>
      <c r="E441" s="207"/>
      <c r="F441" s="207"/>
      <c r="G441" s="207"/>
      <c r="H441" s="370"/>
    </row>
    <row r="442" spans="1:8" ht="17.100000000000001" customHeight="1" x14ac:dyDescent="0.25">
      <c r="A442" s="199"/>
      <c r="B442" s="199"/>
      <c r="C442" s="210"/>
      <c r="D442" s="199"/>
      <c r="E442" s="207"/>
      <c r="F442" s="207"/>
      <c r="G442" s="207"/>
      <c r="H442" s="370"/>
    </row>
    <row r="443" spans="1:8" ht="17.100000000000001" customHeight="1" x14ac:dyDescent="0.25">
      <c r="A443" s="199"/>
      <c r="B443" s="199"/>
      <c r="C443" s="199"/>
      <c r="D443" s="199"/>
      <c r="E443" s="207"/>
      <c r="F443" s="207"/>
      <c r="G443" s="207"/>
      <c r="H443" s="370"/>
    </row>
    <row r="444" spans="1:8" ht="17.100000000000001" customHeight="1" x14ac:dyDescent="0.25">
      <c r="A444" s="248"/>
      <c r="E444" s="208" t="s">
        <v>50</v>
      </c>
      <c r="F444" s="208"/>
      <c r="G444" s="208"/>
      <c r="H444" s="370">
        <f>ROUND(SUM(G441)+(G442),0)</f>
        <v>0</v>
      </c>
    </row>
    <row r="445" spans="1:8" ht="17.100000000000001" customHeight="1" x14ac:dyDescent="0.25">
      <c r="A445" s="247"/>
      <c r="E445" s="208"/>
      <c r="F445" s="208"/>
      <c r="G445" s="208"/>
      <c r="H445" s="370"/>
    </row>
    <row r="446" spans="1:8" ht="17.100000000000001" customHeight="1" x14ac:dyDescent="0.25">
      <c r="A446" s="247"/>
      <c r="D446" s="215" t="s">
        <v>54</v>
      </c>
      <c r="E446" s="216"/>
      <c r="F446" s="216"/>
      <c r="G446" s="216"/>
      <c r="H446" s="370">
        <f>ROUND((SUM(H424:H445)),2)</f>
        <v>45718.75</v>
      </c>
    </row>
    <row r="447" spans="1:8" ht="17.100000000000001" customHeight="1" x14ac:dyDescent="0.25">
      <c r="A447" s="247"/>
      <c r="E447" s="208"/>
      <c r="F447" s="208"/>
      <c r="G447" s="208"/>
      <c r="H447" s="370"/>
    </row>
    <row r="448" spans="1:8" ht="17.100000000000001" customHeight="1" x14ac:dyDescent="0.25">
      <c r="A448" s="206" t="s">
        <v>55</v>
      </c>
      <c r="B448" s="704" t="s">
        <v>56</v>
      </c>
      <c r="C448" s="704"/>
      <c r="D448" s="704"/>
      <c r="E448" s="704"/>
      <c r="F448" s="704"/>
      <c r="G448" s="704"/>
      <c r="H448" s="370"/>
    </row>
    <row r="449" spans="1:27" ht="17.100000000000001" customHeight="1" x14ac:dyDescent="0.25">
      <c r="A449" s="225"/>
      <c r="B449" s="225" t="s">
        <v>31</v>
      </c>
      <c r="C449" s="225" t="s">
        <v>57</v>
      </c>
      <c r="D449" s="199" t="s">
        <v>58</v>
      </c>
      <c r="E449" s="207"/>
      <c r="F449" s="207" t="s">
        <v>59</v>
      </c>
      <c r="G449" s="207"/>
      <c r="H449" s="370"/>
    </row>
    <row r="450" spans="1:27" ht="17.100000000000001" customHeight="1" x14ac:dyDescent="0.25">
      <c r="A450" s="199"/>
      <c r="B450" s="225" t="s">
        <v>60</v>
      </c>
      <c r="C450" s="212">
        <v>0.28000000000000003</v>
      </c>
      <c r="D450" s="199"/>
      <c r="E450" s="210"/>
      <c r="F450" s="199"/>
      <c r="G450" s="218">
        <f>ROUND((H446*C450),2)</f>
        <v>12801.25</v>
      </c>
      <c r="H450" s="370"/>
    </row>
    <row r="451" spans="1:27" ht="17.100000000000001" customHeight="1" x14ac:dyDescent="0.25">
      <c r="A451" s="199"/>
      <c r="B451" s="225" t="s">
        <v>61</v>
      </c>
      <c r="C451" s="212">
        <v>0.01</v>
      </c>
      <c r="D451" s="199"/>
      <c r="E451" s="210"/>
      <c r="F451" s="199"/>
      <c r="G451" s="218">
        <f>ROUND((H446*C451),2)</f>
        <v>457.19</v>
      </c>
      <c r="H451" s="370"/>
    </row>
    <row r="452" spans="1:27" ht="17.100000000000001" customHeight="1" x14ac:dyDescent="0.25">
      <c r="A452" s="199"/>
      <c r="B452" s="225" t="s">
        <v>62</v>
      </c>
      <c r="C452" s="212">
        <v>0.03</v>
      </c>
      <c r="D452" s="199"/>
      <c r="E452" s="210"/>
      <c r="F452" s="199"/>
      <c r="G452" s="218">
        <f>ROUND((H446*C452),2)</f>
        <v>1371.56</v>
      </c>
      <c r="H452" s="370"/>
    </row>
    <row r="453" spans="1:27" ht="17.100000000000001" customHeight="1" x14ac:dyDescent="0.25">
      <c r="A453" s="247"/>
      <c r="D453" s="215" t="s">
        <v>63</v>
      </c>
      <c r="E453" s="216"/>
      <c r="F453" s="216"/>
      <c r="G453" s="216"/>
      <c r="H453" s="370">
        <f>SUM(G449:G452)</f>
        <v>14630</v>
      </c>
    </row>
    <row r="454" spans="1:27" ht="17.100000000000001" customHeight="1" x14ac:dyDescent="0.25">
      <c r="A454" s="247"/>
      <c r="E454" s="208"/>
      <c r="F454" s="208"/>
      <c r="G454" s="208"/>
      <c r="H454" s="370"/>
    </row>
    <row r="455" spans="1:27" ht="17.100000000000001" customHeight="1" x14ac:dyDescent="0.25">
      <c r="A455" s="247"/>
      <c r="D455" s="215" t="s">
        <v>64</v>
      </c>
      <c r="E455" s="216"/>
      <c r="F455" s="216"/>
      <c r="G455" s="208"/>
      <c r="H455" s="370">
        <f>H446+H453</f>
        <v>60348.75</v>
      </c>
    </row>
    <row r="456" spans="1:27" ht="17.100000000000001" customHeight="1" x14ac:dyDescent="0.25">
      <c r="A456" s="247"/>
      <c r="D456" s="215"/>
      <c r="E456" s="216"/>
      <c r="F456" s="216"/>
      <c r="G456" s="208"/>
      <c r="H456" s="370"/>
    </row>
    <row r="457" spans="1:27" ht="17.100000000000001" customHeight="1" x14ac:dyDescent="0.25">
      <c r="A457" s="205"/>
      <c r="B457" s="204"/>
      <c r="E457" s="219"/>
      <c r="F457" s="220"/>
      <c r="G457" s="203"/>
      <c r="H457" s="370"/>
    </row>
    <row r="458" spans="1:27" ht="17.100000000000001" customHeight="1" x14ac:dyDescent="0.25">
      <c r="A458" s="249" t="str">
        <f>+A398</f>
        <v>ING JHON ALEXANDER ARIAS</v>
      </c>
      <c r="B458" s="217"/>
      <c r="E458" s="216" t="str">
        <f>Presupuesto!D65</f>
        <v>ARQ. GUILLERMO YAMID VALLEJOS BENAVIDES</v>
      </c>
      <c r="F458" s="208"/>
      <c r="G458" s="208"/>
      <c r="H458" s="370"/>
    </row>
    <row r="459" spans="1:27" ht="16.5" customHeight="1" x14ac:dyDescent="0.25">
      <c r="A459" s="250" t="str">
        <f t="shared" ref="A459:A460" si="8">+A399</f>
        <v>APOYO PROFESIONAL SPOPM</v>
      </c>
      <c r="B459" s="217"/>
      <c r="E459" s="208" t="str">
        <f>Presupuesto!D66</f>
        <v>SECRETARIO DE PLANEACION Y OBRAS PUBLICAS</v>
      </c>
      <c r="F459" s="208"/>
      <c r="G459" s="208"/>
      <c r="H459" s="370"/>
    </row>
    <row r="460" spans="1:27" ht="17.100000000000001" customHeight="1" x14ac:dyDescent="0.25">
      <c r="A460" s="250" t="str">
        <f t="shared" si="8"/>
        <v>MP 111037-0703225 NRÑ</v>
      </c>
      <c r="B460" s="580"/>
      <c r="C460" s="579"/>
      <c r="D460" s="579"/>
      <c r="E460" s="581" t="str">
        <f>Presupuesto!D67</f>
        <v>SAN MIGUEL - PUTUMAYO</v>
      </c>
      <c r="F460" s="581"/>
      <c r="G460" s="581"/>
      <c r="H460" s="516"/>
    </row>
    <row r="461" spans="1:27" ht="17.100000000000001" customHeight="1" x14ac:dyDescent="0.25">
      <c r="A461" s="250"/>
      <c r="B461" s="580"/>
      <c r="C461" s="579"/>
      <c r="D461" s="204"/>
      <c r="E461" s="203"/>
      <c r="F461" s="203"/>
      <c r="G461" s="203"/>
      <c r="H461" s="445"/>
    </row>
    <row r="462" spans="1:27" ht="17.100000000000001" customHeight="1" x14ac:dyDescent="0.3">
      <c r="A462" s="705"/>
      <c r="B462" s="706"/>
      <c r="C462" s="638" t="s">
        <v>224</v>
      </c>
      <c r="D462" s="625" t="s">
        <v>225</v>
      </c>
      <c r="E462" s="626"/>
      <c r="F462" s="275">
        <v>103</v>
      </c>
      <c r="G462" s="711"/>
      <c r="H462" s="711"/>
      <c r="Q462"/>
      <c r="R462"/>
      <c r="S462"/>
      <c r="T462"/>
      <c r="U462"/>
      <c r="V462"/>
      <c r="W462"/>
      <c r="X462"/>
      <c r="Y462"/>
      <c r="Z462"/>
      <c r="AA462"/>
    </row>
    <row r="463" spans="1:27" ht="17.100000000000001" customHeight="1" x14ac:dyDescent="0.3">
      <c r="A463" s="707"/>
      <c r="B463" s="708"/>
      <c r="C463" s="639"/>
      <c r="D463" s="634" t="s">
        <v>195</v>
      </c>
      <c r="E463" s="635"/>
      <c r="F463" s="712">
        <v>51</v>
      </c>
      <c r="G463" s="711"/>
      <c r="H463" s="711"/>
      <c r="Q463"/>
      <c r="R463"/>
      <c r="S463"/>
      <c r="T463"/>
      <c r="U463"/>
      <c r="V463"/>
      <c r="W463"/>
      <c r="X463"/>
      <c r="Y463"/>
      <c r="Z463"/>
      <c r="AA463"/>
    </row>
    <row r="464" spans="1:27" ht="17.100000000000001" customHeight="1" x14ac:dyDescent="0.3">
      <c r="A464" s="707"/>
      <c r="B464" s="708"/>
      <c r="C464" s="307" t="s">
        <v>196</v>
      </c>
      <c r="D464" s="636"/>
      <c r="E464" s="637"/>
      <c r="F464" s="713"/>
      <c r="G464" s="711"/>
      <c r="H464" s="711"/>
      <c r="Q464"/>
      <c r="R464"/>
      <c r="S464"/>
      <c r="T464"/>
      <c r="U464"/>
      <c r="V464"/>
      <c r="W464"/>
      <c r="X464"/>
      <c r="Y464"/>
      <c r="Z464"/>
      <c r="AA464"/>
    </row>
    <row r="465" spans="1:27" ht="17.100000000000001" customHeight="1" x14ac:dyDescent="0.3">
      <c r="A465" s="707"/>
      <c r="B465" s="708"/>
      <c r="C465" s="308" t="s">
        <v>197</v>
      </c>
      <c r="D465" s="640" t="s">
        <v>198</v>
      </c>
      <c r="E465" s="641"/>
      <c r="F465" s="309">
        <v>1</v>
      </c>
      <c r="G465" s="711"/>
      <c r="H465" s="711"/>
      <c r="Q465"/>
      <c r="R465"/>
      <c r="S465"/>
      <c r="T465"/>
      <c r="U465"/>
      <c r="V465"/>
      <c r="W465"/>
      <c r="X465"/>
      <c r="Y465"/>
      <c r="Z465"/>
      <c r="AA465"/>
    </row>
    <row r="466" spans="1:27" ht="14.4" x14ac:dyDescent="0.3">
      <c r="A466" s="707"/>
      <c r="B466" s="708"/>
      <c r="C466" s="714" t="s">
        <v>199</v>
      </c>
      <c r="D466" s="716" t="s">
        <v>200</v>
      </c>
      <c r="E466" s="717"/>
      <c r="F466" s="307" t="s">
        <v>201</v>
      </c>
      <c r="G466" s="711"/>
      <c r="H466" s="711"/>
      <c r="Q466"/>
      <c r="R466"/>
      <c r="S466"/>
      <c r="T466"/>
      <c r="U466"/>
      <c r="V466"/>
      <c r="W466"/>
      <c r="X466"/>
      <c r="Y466"/>
      <c r="Z466"/>
      <c r="AA466"/>
    </row>
    <row r="467" spans="1:27" ht="17.100000000000001" customHeight="1" x14ac:dyDescent="0.3">
      <c r="A467" s="709"/>
      <c r="B467" s="710"/>
      <c r="C467" s="715"/>
      <c r="D467" s="718"/>
      <c r="E467" s="719"/>
      <c r="F467" s="310">
        <v>44216</v>
      </c>
      <c r="G467" s="711"/>
      <c r="H467" s="711"/>
      <c r="Q467"/>
      <c r="R467"/>
      <c r="S467"/>
      <c r="T467"/>
      <c r="U467"/>
      <c r="V467"/>
      <c r="W467"/>
      <c r="X467"/>
      <c r="Y467"/>
      <c r="Z467"/>
      <c r="AA467"/>
    </row>
    <row r="468" spans="1:27" ht="17.100000000000001" customHeight="1" thickBot="1" x14ac:dyDescent="0.35">
      <c r="A468" s="720"/>
      <c r="B468" s="721"/>
      <c r="C468" s="721"/>
      <c r="D468" s="721"/>
      <c r="E468" s="721"/>
      <c r="F468" s="721"/>
      <c r="G468" s="721"/>
      <c r="H468" s="722"/>
      <c r="Q468"/>
      <c r="R468"/>
      <c r="S468"/>
      <c r="T468"/>
      <c r="U468"/>
      <c r="V468"/>
      <c r="W468"/>
      <c r="X468"/>
      <c r="Y468"/>
      <c r="Z468"/>
      <c r="AA468"/>
    </row>
    <row r="469" spans="1:27" ht="24.75" customHeight="1" x14ac:dyDescent="0.3">
      <c r="A469" s="723" t="str">
        <f>Presupuesto!A8</f>
        <v>ADECUACION Y MEJORAMIENTO DE AULAS ESCOLARES UBICADA EN LA INSTITUCION EDUCATIVA TECNICO COMERCIAL LA DORADA SEDE ESCUELA CENTRAL DEL MUNICIPIO DE SAN MIGUEL PUTUMAYO</v>
      </c>
      <c r="B469" s="724"/>
      <c r="C469" s="724"/>
      <c r="D469" s="724"/>
      <c r="E469" s="724"/>
      <c r="F469" s="724"/>
      <c r="G469" s="724"/>
      <c r="H469" s="725"/>
      <c r="Q469"/>
      <c r="R469"/>
      <c r="S469"/>
      <c r="T469"/>
      <c r="U469"/>
      <c r="V469"/>
      <c r="W469"/>
      <c r="X469"/>
      <c r="Y469"/>
      <c r="Z469"/>
      <c r="AA469"/>
    </row>
    <row r="470" spans="1:27" ht="18" customHeight="1" thickBot="1" x14ac:dyDescent="0.35">
      <c r="A470" s="726"/>
      <c r="B470" s="727"/>
      <c r="C470" s="727"/>
      <c r="D470" s="727"/>
      <c r="E470" s="727"/>
      <c r="F470" s="727"/>
      <c r="G470" s="727"/>
      <c r="H470" s="728"/>
      <c r="Q470"/>
      <c r="R470"/>
      <c r="S470"/>
      <c r="T470"/>
      <c r="U470"/>
      <c r="V470"/>
      <c r="W470"/>
      <c r="X470"/>
      <c r="Y470"/>
      <c r="Z470"/>
      <c r="AA470"/>
    </row>
    <row r="471" spans="1:27" ht="17.100000000000001" customHeight="1" thickBot="1" x14ac:dyDescent="0.35">
      <c r="A471" s="273"/>
      <c r="B471" s="274"/>
      <c r="C471" s="274"/>
      <c r="D471" s="274"/>
      <c r="E471" s="274"/>
      <c r="F471" s="274"/>
      <c r="G471" s="274"/>
      <c r="H471" s="443"/>
      <c r="Q471"/>
      <c r="R471"/>
      <c r="S471"/>
      <c r="T471"/>
      <c r="U471"/>
      <c r="V471"/>
      <c r="W471"/>
      <c r="X471"/>
      <c r="Y471"/>
      <c r="Z471"/>
      <c r="AA471"/>
    </row>
    <row r="472" spans="1:27" ht="17.100000000000001" customHeight="1" thickBot="1" x14ac:dyDescent="0.35">
      <c r="A472" s="729" t="s">
        <v>26</v>
      </c>
      <c r="B472" s="730"/>
      <c r="C472" s="730"/>
      <c r="D472" s="730"/>
      <c r="E472" s="730"/>
      <c r="F472" s="730"/>
      <c r="G472" s="730"/>
      <c r="H472" s="731"/>
      <c r="Q472"/>
      <c r="R472"/>
      <c r="S472"/>
      <c r="T472"/>
      <c r="U472"/>
      <c r="V472"/>
      <c r="W472"/>
      <c r="X472"/>
      <c r="Y472"/>
      <c r="Z472"/>
      <c r="AA472"/>
    </row>
    <row r="473" spans="1:27" ht="17.100000000000001" customHeight="1" thickBot="1" x14ac:dyDescent="0.35">
      <c r="A473" s="247"/>
      <c r="H473" s="370"/>
      <c r="Q473"/>
      <c r="R473"/>
      <c r="S473"/>
      <c r="T473"/>
      <c r="U473"/>
      <c r="V473"/>
      <c r="W473"/>
      <c r="X473"/>
      <c r="Y473"/>
      <c r="Z473"/>
      <c r="AA473"/>
    </row>
    <row r="474" spans="1:27" ht="17.100000000000001" customHeight="1" thickBot="1" x14ac:dyDescent="0.35">
      <c r="A474" s="351">
        <f>Presupuesto!A25</f>
        <v>2.2000000000000002</v>
      </c>
      <c r="B474" s="732" t="str">
        <f>Presupuesto!B25</f>
        <v>RELLENO  Y COMPACTACION MATERIAL SELECCIONADO</v>
      </c>
      <c r="C474" s="733"/>
      <c r="D474" s="733"/>
      <c r="E474" s="733"/>
      <c r="F474" s="734"/>
      <c r="G474" s="352" t="s">
        <v>28</v>
      </c>
      <c r="H474" s="444" t="str">
        <f>Presupuesto!D25</f>
        <v>M3</v>
      </c>
      <c r="Q474"/>
      <c r="R474"/>
      <c r="S474"/>
      <c r="T474"/>
      <c r="U474"/>
      <c r="V474"/>
      <c r="W474"/>
      <c r="X474"/>
      <c r="Y474"/>
      <c r="Z474"/>
      <c r="AA474"/>
    </row>
    <row r="475" spans="1:27" ht="17.100000000000001" customHeight="1" x14ac:dyDescent="0.3">
      <c r="A475" s="247"/>
      <c r="H475" s="370"/>
      <c r="Q475"/>
      <c r="R475"/>
      <c r="S475"/>
      <c r="T475"/>
      <c r="U475"/>
      <c r="V475"/>
      <c r="W475"/>
      <c r="X475"/>
      <c r="Y475"/>
      <c r="Z475"/>
      <c r="AA475"/>
    </row>
    <row r="476" spans="1:27" ht="17.100000000000001" customHeight="1" x14ac:dyDescent="0.3">
      <c r="A476" s="206" t="s">
        <v>29</v>
      </c>
      <c r="B476" s="704" t="s">
        <v>30</v>
      </c>
      <c r="C476" s="704"/>
      <c r="D476" s="704"/>
      <c r="E476" s="704"/>
      <c r="F476" s="704"/>
      <c r="G476" s="704"/>
      <c r="H476" s="370"/>
      <c r="Q476"/>
      <c r="R476"/>
      <c r="S476"/>
      <c r="T476"/>
      <c r="U476"/>
      <c r="V476"/>
      <c r="W476"/>
      <c r="X476"/>
      <c r="Y476"/>
      <c r="Z476"/>
      <c r="AA476"/>
    </row>
    <row r="477" spans="1:27" ht="17.100000000000001" customHeight="1" x14ac:dyDescent="0.3">
      <c r="A477" s="225"/>
      <c r="B477" s="735" t="s">
        <v>31</v>
      </c>
      <c r="C477" s="736"/>
      <c r="D477" s="225" t="s">
        <v>32</v>
      </c>
      <c r="E477" s="225" t="s">
        <v>33</v>
      </c>
      <c r="F477" s="225" t="s">
        <v>34</v>
      </c>
      <c r="G477" s="225" t="s">
        <v>35</v>
      </c>
      <c r="H477" s="370"/>
      <c r="Q477"/>
      <c r="R477"/>
      <c r="S477"/>
      <c r="T477"/>
      <c r="U477"/>
      <c r="V477"/>
      <c r="W477"/>
      <c r="X477"/>
      <c r="Y477"/>
      <c r="Z477"/>
      <c r="AA477"/>
    </row>
    <row r="478" spans="1:27" ht="17.100000000000001" customHeight="1" x14ac:dyDescent="0.3">
      <c r="A478" s="199"/>
      <c r="B478" s="737" t="s">
        <v>67</v>
      </c>
      <c r="C478" s="738"/>
      <c r="D478" s="199"/>
      <c r="E478" s="207"/>
      <c r="F478" s="207">
        <v>0.1</v>
      </c>
      <c r="G478" s="218">
        <f>ROUND((H495*F478),2)</f>
        <v>1847.22</v>
      </c>
      <c r="H478" s="370"/>
      <c r="Q478"/>
      <c r="R478"/>
      <c r="S478"/>
      <c r="T478"/>
      <c r="U478"/>
      <c r="V478"/>
      <c r="W478"/>
      <c r="X478"/>
      <c r="Y478"/>
      <c r="Z478"/>
      <c r="AA478"/>
    </row>
    <row r="479" spans="1:27" ht="17.100000000000001" customHeight="1" x14ac:dyDescent="0.25">
      <c r="A479" s="199"/>
      <c r="B479" s="735"/>
      <c r="C479" s="736"/>
      <c r="D479" s="199"/>
      <c r="E479" s="207"/>
      <c r="F479" s="207"/>
      <c r="G479" s="207"/>
      <c r="H479" s="370"/>
    </row>
    <row r="480" spans="1:27" ht="17.100000000000001" customHeight="1" x14ac:dyDescent="0.25">
      <c r="A480" s="199"/>
      <c r="B480" s="735"/>
      <c r="C480" s="736"/>
      <c r="D480" s="199"/>
      <c r="E480" s="207"/>
      <c r="F480" s="207"/>
      <c r="G480" s="207"/>
      <c r="H480" s="370"/>
    </row>
    <row r="481" spans="1:8" ht="17.100000000000001" customHeight="1" x14ac:dyDescent="0.25">
      <c r="A481" s="248"/>
      <c r="E481" s="208" t="s">
        <v>36</v>
      </c>
      <c r="F481" s="208"/>
      <c r="G481" s="208"/>
      <c r="H481" s="370">
        <f>SUM(G478:G480)</f>
        <v>1847.22</v>
      </c>
    </row>
    <row r="482" spans="1:8" ht="17.100000000000001" customHeight="1" x14ac:dyDescent="0.25">
      <c r="A482" s="206" t="s">
        <v>37</v>
      </c>
      <c r="B482" s="704" t="s">
        <v>38</v>
      </c>
      <c r="C482" s="704"/>
      <c r="D482" s="704"/>
      <c r="E482" s="704"/>
      <c r="F482" s="704"/>
      <c r="G482" s="704"/>
      <c r="H482" s="370"/>
    </row>
    <row r="483" spans="1:8" ht="17.100000000000001" customHeight="1" x14ac:dyDescent="0.25">
      <c r="A483" s="225"/>
      <c r="B483" s="735" t="s">
        <v>31</v>
      </c>
      <c r="C483" s="736"/>
      <c r="D483" s="199" t="s">
        <v>12</v>
      </c>
      <c r="E483" s="209" t="s">
        <v>39</v>
      </c>
      <c r="F483" s="209" t="s">
        <v>40</v>
      </c>
      <c r="G483" s="209" t="s">
        <v>35</v>
      </c>
      <c r="H483" s="370"/>
    </row>
    <row r="484" spans="1:8" ht="17.100000000000001" customHeight="1" x14ac:dyDescent="0.25">
      <c r="A484" s="199"/>
      <c r="B484" s="739" t="s">
        <v>320</v>
      </c>
      <c r="C484" s="740"/>
      <c r="D484" s="221" t="s">
        <v>17</v>
      </c>
      <c r="E484" s="207">
        <v>1</v>
      </c>
      <c r="F484" s="207">
        <v>80000</v>
      </c>
      <c r="G484" s="207">
        <f>ROUND((E484*F484),2)</f>
        <v>80000</v>
      </c>
      <c r="H484" s="370"/>
    </row>
    <row r="485" spans="1:8" ht="17.100000000000001" customHeight="1" x14ac:dyDescent="0.25">
      <c r="A485" s="199"/>
      <c r="B485" s="739"/>
      <c r="C485" s="740"/>
      <c r="D485" s="221"/>
      <c r="E485" s="207"/>
      <c r="F485" s="207"/>
      <c r="G485" s="207">
        <f>ROUND((E485*F485),2)</f>
        <v>0</v>
      </c>
      <c r="H485" s="370"/>
    </row>
    <row r="486" spans="1:8" ht="17.100000000000001" customHeight="1" x14ac:dyDescent="0.25">
      <c r="A486" s="199"/>
      <c r="B486" s="739"/>
      <c r="C486" s="740"/>
      <c r="D486" s="221"/>
      <c r="E486" s="221"/>
      <c r="F486" s="221"/>
      <c r="G486" s="207">
        <f>ROUND((E486*F486),2)</f>
        <v>0</v>
      </c>
      <c r="H486" s="370"/>
    </row>
    <row r="487" spans="1:8" ht="17.100000000000001" customHeight="1" x14ac:dyDescent="0.25">
      <c r="A487" s="199"/>
      <c r="B487" s="746"/>
      <c r="C487" s="747"/>
      <c r="D487" s="199"/>
      <c r="E487" s="207"/>
      <c r="F487" s="207"/>
      <c r="G487" s="207"/>
      <c r="H487" s="370"/>
    </row>
    <row r="488" spans="1:8" ht="17.100000000000001" customHeight="1" x14ac:dyDescent="0.25">
      <c r="A488" s="199"/>
      <c r="B488" s="746"/>
      <c r="C488" s="747"/>
      <c r="D488" s="199"/>
      <c r="E488" s="207"/>
      <c r="F488" s="207"/>
      <c r="G488" s="207"/>
      <c r="H488" s="370"/>
    </row>
    <row r="489" spans="1:8" ht="17.100000000000001" customHeight="1" x14ac:dyDescent="0.25">
      <c r="A489" s="248" t="s">
        <v>41</v>
      </c>
      <c r="E489" s="208" t="s">
        <v>42</v>
      </c>
      <c r="F489" s="208"/>
      <c r="G489" s="208"/>
      <c r="H489" s="370">
        <f>(SUM(G484:G486))</f>
        <v>80000</v>
      </c>
    </row>
    <row r="490" spans="1:8" ht="17.100000000000001" customHeight="1" x14ac:dyDescent="0.25">
      <c r="A490" s="206" t="s">
        <v>43</v>
      </c>
      <c r="B490" s="704" t="s">
        <v>44</v>
      </c>
      <c r="C490" s="704"/>
      <c r="D490" s="704"/>
      <c r="E490" s="704"/>
      <c r="F490" s="704"/>
      <c r="G490" s="704"/>
      <c r="H490" s="370"/>
    </row>
    <row r="491" spans="1:8" ht="17.100000000000001" customHeight="1" x14ac:dyDescent="0.25">
      <c r="A491" s="199" t="s">
        <v>45</v>
      </c>
      <c r="B491" s="225" t="s">
        <v>31</v>
      </c>
      <c r="C491" s="225" t="s">
        <v>46</v>
      </c>
      <c r="D491" s="225" t="s">
        <v>47</v>
      </c>
      <c r="E491" s="209" t="s">
        <v>48</v>
      </c>
      <c r="F491" s="207" t="s">
        <v>34</v>
      </c>
      <c r="G491" s="207" t="s">
        <v>35</v>
      </c>
      <c r="H491" s="370"/>
    </row>
    <row r="492" spans="1:8" ht="17.100000000000001" customHeight="1" x14ac:dyDescent="0.25">
      <c r="A492" s="199">
        <v>1</v>
      </c>
      <c r="B492" s="199" t="s">
        <v>189</v>
      </c>
      <c r="C492" s="211">
        <v>70000</v>
      </c>
      <c r="D492" s="212">
        <v>0.75</v>
      </c>
      <c r="E492" s="210">
        <f>+(A492*C492)+(A492*C492*D492)</f>
        <v>122500</v>
      </c>
      <c r="F492" s="213">
        <v>18</v>
      </c>
      <c r="G492" s="218">
        <f>ROUND(((E492)/(F492)),2)</f>
        <v>6805.56</v>
      </c>
      <c r="H492" s="370"/>
    </row>
    <row r="493" spans="1:8" ht="17.100000000000001" customHeight="1" x14ac:dyDescent="0.25">
      <c r="A493" s="199">
        <v>1</v>
      </c>
      <c r="B493" s="199" t="s">
        <v>233</v>
      </c>
      <c r="C493" s="211">
        <v>120000</v>
      </c>
      <c r="D493" s="212">
        <v>0.75</v>
      </c>
      <c r="E493" s="210">
        <f>+(A493*C493)+(A493*C493*D493)</f>
        <v>210000</v>
      </c>
      <c r="F493" s="213">
        <v>18</v>
      </c>
      <c r="G493" s="218">
        <f>ROUND(((E493)/(F493)),2)</f>
        <v>11666.67</v>
      </c>
      <c r="H493" s="370"/>
    </row>
    <row r="494" spans="1:8" ht="17.100000000000001" customHeight="1" x14ac:dyDescent="0.25">
      <c r="A494" s="199"/>
      <c r="B494" s="199"/>
      <c r="C494" s="199"/>
      <c r="D494" s="199"/>
      <c r="E494" s="207"/>
      <c r="F494" s="207"/>
      <c r="G494" s="207"/>
      <c r="H494" s="370"/>
    </row>
    <row r="495" spans="1:8" ht="17.100000000000001" customHeight="1" x14ac:dyDescent="0.25">
      <c r="A495" s="248"/>
      <c r="E495" s="208" t="s">
        <v>50</v>
      </c>
      <c r="F495" s="208"/>
      <c r="G495" s="208"/>
      <c r="H495" s="370">
        <f>SUM(G492)+(G493)</f>
        <v>18472.23</v>
      </c>
    </row>
    <row r="496" spans="1:8" ht="17.100000000000001" customHeight="1" x14ac:dyDescent="0.25">
      <c r="A496" s="206" t="s">
        <v>51</v>
      </c>
      <c r="B496" s="704" t="s">
        <v>18</v>
      </c>
      <c r="C496" s="704"/>
      <c r="D496" s="704"/>
      <c r="E496" s="704"/>
      <c r="F496" s="704"/>
      <c r="G496" s="704"/>
      <c r="H496" s="370"/>
    </row>
    <row r="497" spans="1:8" ht="17.100000000000001" customHeight="1" x14ac:dyDescent="0.25">
      <c r="A497" s="199"/>
      <c r="B497" s="199" t="s">
        <v>31</v>
      </c>
      <c r="C497" s="225" t="s">
        <v>12</v>
      </c>
      <c r="D497" s="225" t="s">
        <v>13</v>
      </c>
      <c r="E497" s="225" t="s">
        <v>52</v>
      </c>
      <c r="F497" s="225"/>
      <c r="G497" s="207" t="s">
        <v>53</v>
      </c>
      <c r="H497" s="370"/>
    </row>
    <row r="498" spans="1:8" ht="17.100000000000001" customHeight="1" x14ac:dyDescent="0.25">
      <c r="A498" s="199"/>
      <c r="B498" s="199"/>
      <c r="C498" s="214"/>
      <c r="D498" s="199"/>
      <c r="E498" s="207"/>
      <c r="F498" s="207"/>
      <c r="G498" s="207"/>
      <c r="H498" s="370"/>
    </row>
    <row r="499" spans="1:8" ht="17.100000000000001" customHeight="1" x14ac:dyDescent="0.25">
      <c r="A499" s="199"/>
      <c r="B499" s="199"/>
      <c r="C499" s="210"/>
      <c r="D499" s="199"/>
      <c r="E499" s="207"/>
      <c r="F499" s="207"/>
      <c r="G499" s="207"/>
      <c r="H499" s="370"/>
    </row>
    <row r="500" spans="1:8" ht="17.100000000000001" customHeight="1" x14ac:dyDescent="0.25">
      <c r="A500" s="199"/>
      <c r="B500" s="199"/>
      <c r="C500" s="199"/>
      <c r="D500" s="199"/>
      <c r="E500" s="207"/>
      <c r="F500" s="207"/>
      <c r="G500" s="207"/>
      <c r="H500" s="370"/>
    </row>
    <row r="501" spans="1:8" ht="17.100000000000001" customHeight="1" x14ac:dyDescent="0.25">
      <c r="A501" s="248"/>
      <c r="E501" s="208" t="s">
        <v>50</v>
      </c>
      <c r="F501" s="208"/>
      <c r="G501" s="208"/>
      <c r="H501" s="370">
        <f>ROUND(SUM(G498)+(G499),2)</f>
        <v>0</v>
      </c>
    </row>
    <row r="502" spans="1:8" ht="17.100000000000001" customHeight="1" x14ac:dyDescent="0.25">
      <c r="A502" s="247"/>
      <c r="E502" s="208"/>
      <c r="F502" s="208"/>
      <c r="G502" s="208"/>
      <c r="H502" s="370"/>
    </row>
    <row r="503" spans="1:8" ht="17.100000000000001" customHeight="1" x14ac:dyDescent="0.25">
      <c r="A503" s="247"/>
      <c r="D503" s="215" t="s">
        <v>54</v>
      </c>
      <c r="E503" s="216"/>
      <c r="F503" s="216"/>
      <c r="G503" s="216"/>
      <c r="H503" s="370">
        <f>ROUND((SUM(H481:H502)),2)</f>
        <v>100319.45</v>
      </c>
    </row>
    <row r="504" spans="1:8" ht="17.100000000000001" customHeight="1" x14ac:dyDescent="0.25">
      <c r="A504" s="247"/>
      <c r="E504" s="208"/>
      <c r="F504" s="208"/>
      <c r="G504" s="208"/>
      <c r="H504" s="370"/>
    </row>
    <row r="505" spans="1:8" ht="17.100000000000001" customHeight="1" x14ac:dyDescent="0.25">
      <c r="A505" s="206" t="s">
        <v>55</v>
      </c>
      <c r="B505" s="704" t="s">
        <v>56</v>
      </c>
      <c r="C505" s="704"/>
      <c r="D505" s="704"/>
      <c r="E505" s="704"/>
      <c r="F505" s="704"/>
      <c r="G505" s="704"/>
      <c r="H505" s="370"/>
    </row>
    <row r="506" spans="1:8" ht="17.100000000000001" customHeight="1" x14ac:dyDescent="0.25">
      <c r="A506" s="225"/>
      <c r="B506" s="225" t="s">
        <v>31</v>
      </c>
      <c r="C506" s="225" t="s">
        <v>57</v>
      </c>
      <c r="D506" s="199" t="s">
        <v>58</v>
      </c>
      <c r="E506" s="207"/>
      <c r="F506" s="207" t="s">
        <v>59</v>
      </c>
      <c r="G506" s="207"/>
      <c r="H506" s="370"/>
    </row>
    <row r="507" spans="1:8" ht="17.100000000000001" customHeight="1" x14ac:dyDescent="0.25">
      <c r="A507" s="199"/>
      <c r="B507" s="225" t="s">
        <v>60</v>
      </c>
      <c r="C507" s="212">
        <v>0.28000000000000003</v>
      </c>
      <c r="D507" s="199"/>
      <c r="E507" s="210"/>
      <c r="F507" s="199"/>
      <c r="G507" s="218">
        <f>ROUND((H503*C507),2)</f>
        <v>28089.45</v>
      </c>
      <c r="H507" s="370"/>
    </row>
    <row r="508" spans="1:8" ht="17.100000000000001" customHeight="1" x14ac:dyDescent="0.25">
      <c r="A508" s="199"/>
      <c r="B508" s="225" t="s">
        <v>61</v>
      </c>
      <c r="C508" s="212">
        <v>0.01</v>
      </c>
      <c r="D508" s="199"/>
      <c r="E508" s="210"/>
      <c r="F508" s="199"/>
      <c r="G508" s="218">
        <f>ROUND((H503*C508),2)</f>
        <v>1003.19</v>
      </c>
      <c r="H508" s="370"/>
    </row>
    <row r="509" spans="1:8" ht="17.100000000000001" customHeight="1" x14ac:dyDescent="0.25">
      <c r="A509" s="199"/>
      <c r="B509" s="225" t="s">
        <v>62</v>
      </c>
      <c r="C509" s="212">
        <v>0.03</v>
      </c>
      <c r="D509" s="199"/>
      <c r="E509" s="210"/>
      <c r="F509" s="199"/>
      <c r="G509" s="218">
        <f>ROUND((H503*C509),2)</f>
        <v>3009.58</v>
      </c>
      <c r="H509" s="370"/>
    </row>
    <row r="510" spans="1:8" ht="17.100000000000001" customHeight="1" x14ac:dyDescent="0.25">
      <c r="A510" s="247"/>
      <c r="D510" s="215" t="s">
        <v>63</v>
      </c>
      <c r="E510" s="216"/>
      <c r="F510" s="216"/>
      <c r="G510" s="216"/>
      <c r="H510" s="370">
        <f>SUM(G506:G509)</f>
        <v>32102.22</v>
      </c>
    </row>
    <row r="511" spans="1:8" ht="17.100000000000001" customHeight="1" x14ac:dyDescent="0.25">
      <c r="A511" s="247"/>
      <c r="E511" s="208"/>
      <c r="F511" s="208"/>
      <c r="G511" s="208"/>
      <c r="H511" s="370"/>
    </row>
    <row r="512" spans="1:8" ht="17.100000000000001" customHeight="1" x14ac:dyDescent="0.25">
      <c r="A512" s="247"/>
      <c r="D512" s="215" t="s">
        <v>64</v>
      </c>
      <c r="E512" s="216"/>
      <c r="F512" s="216"/>
      <c r="G512" s="208"/>
      <c r="H512" s="370">
        <f>H503+H510</f>
        <v>132421.66999999998</v>
      </c>
    </row>
    <row r="513" spans="1:8" ht="17.100000000000001" customHeight="1" x14ac:dyDescent="0.25">
      <c r="A513" s="247"/>
      <c r="D513" s="215"/>
      <c r="E513" s="216"/>
      <c r="F513" s="216"/>
      <c r="G513" s="208"/>
      <c r="H513" s="370"/>
    </row>
    <row r="514" spans="1:8" ht="17.100000000000001" customHeight="1" x14ac:dyDescent="0.25">
      <c r="A514" s="205"/>
      <c r="B514" s="204"/>
      <c r="E514" s="219"/>
      <c r="F514" s="220"/>
      <c r="G514" s="203"/>
      <c r="H514" s="370"/>
    </row>
    <row r="515" spans="1:8" ht="17.100000000000001" customHeight="1" x14ac:dyDescent="0.25">
      <c r="A515" s="249" t="str">
        <f>+A458</f>
        <v>ING JHON ALEXANDER ARIAS</v>
      </c>
      <c r="B515" s="217"/>
      <c r="E515" s="216" t="str">
        <f>Presupuesto!D65</f>
        <v>ARQ. GUILLERMO YAMID VALLEJOS BENAVIDES</v>
      </c>
      <c r="F515" s="208"/>
      <c r="G515" s="208"/>
      <c r="H515" s="370"/>
    </row>
    <row r="516" spans="1:8" ht="16.5" customHeight="1" x14ac:dyDescent="0.25">
      <c r="A516" s="250" t="str">
        <f t="shared" ref="A516:A517" si="9">+A459</f>
        <v>APOYO PROFESIONAL SPOPM</v>
      </c>
      <c r="B516" s="217"/>
      <c r="E516" s="208" t="str">
        <f>Presupuesto!D66</f>
        <v>SECRETARIO DE PLANEACION Y OBRAS PUBLICAS</v>
      </c>
      <c r="F516" s="208"/>
      <c r="G516" s="208"/>
      <c r="H516" s="370"/>
    </row>
    <row r="517" spans="1:8" ht="17.100000000000001" customHeight="1" x14ac:dyDescent="0.25">
      <c r="A517" s="250" t="str">
        <f t="shared" si="9"/>
        <v>MP 111037-0703225 NRÑ</v>
      </c>
      <c r="B517" s="580"/>
      <c r="C517" s="579"/>
      <c r="D517" s="579"/>
      <c r="E517" s="581" t="str">
        <f>Presupuesto!D67</f>
        <v>SAN MIGUEL - PUTUMAYO</v>
      </c>
      <c r="F517" s="581"/>
      <c r="G517" s="581"/>
      <c r="H517" s="516"/>
    </row>
    <row r="520" spans="1:8" ht="17.100000000000001" customHeight="1" x14ac:dyDescent="0.3">
      <c r="A520" s="705"/>
      <c r="B520" s="706"/>
      <c r="C520" s="638" t="s">
        <v>224</v>
      </c>
      <c r="D520" s="625" t="s">
        <v>225</v>
      </c>
      <c r="E520" s="626"/>
      <c r="F520" s="275">
        <v>103</v>
      </c>
      <c r="G520" s="753"/>
      <c r="H520" s="754"/>
    </row>
    <row r="521" spans="1:8" ht="17.100000000000001" customHeight="1" x14ac:dyDescent="0.25">
      <c r="A521" s="707"/>
      <c r="B521" s="708"/>
      <c r="C521" s="639"/>
      <c r="D521" s="634" t="s">
        <v>195</v>
      </c>
      <c r="E521" s="635"/>
      <c r="F521" s="712">
        <v>51</v>
      </c>
      <c r="G521" s="755"/>
      <c r="H521" s="756"/>
    </row>
    <row r="522" spans="1:8" ht="17.100000000000001" customHeight="1" x14ac:dyDescent="0.25">
      <c r="A522" s="707"/>
      <c r="B522" s="708"/>
      <c r="C522" s="307" t="s">
        <v>196</v>
      </c>
      <c r="D522" s="636"/>
      <c r="E522" s="637"/>
      <c r="F522" s="713"/>
      <c r="G522" s="755"/>
      <c r="H522" s="756"/>
    </row>
    <row r="523" spans="1:8" ht="17.100000000000001" customHeight="1" x14ac:dyDescent="0.25">
      <c r="A523" s="707"/>
      <c r="B523" s="708"/>
      <c r="C523" s="308" t="s">
        <v>197</v>
      </c>
      <c r="D523" s="640" t="s">
        <v>198</v>
      </c>
      <c r="E523" s="641"/>
      <c r="F523" s="309">
        <v>1</v>
      </c>
      <c r="G523" s="755"/>
      <c r="H523" s="756"/>
    </row>
    <row r="524" spans="1:8" ht="27.6" customHeight="1" x14ac:dyDescent="0.25">
      <c r="A524" s="707"/>
      <c r="B524" s="708"/>
      <c r="C524" s="714" t="s">
        <v>199</v>
      </c>
      <c r="D524" s="716" t="s">
        <v>200</v>
      </c>
      <c r="E524" s="717"/>
      <c r="F524" s="307" t="s">
        <v>201</v>
      </c>
      <c r="G524" s="755"/>
      <c r="H524" s="756"/>
    </row>
    <row r="525" spans="1:8" ht="17.100000000000001" customHeight="1" x14ac:dyDescent="0.25">
      <c r="A525" s="709"/>
      <c r="B525" s="710"/>
      <c r="C525" s="715"/>
      <c r="D525" s="718"/>
      <c r="E525" s="719"/>
      <c r="F525" s="310">
        <v>44216</v>
      </c>
      <c r="G525" s="757"/>
      <c r="H525" s="758"/>
    </row>
    <row r="526" spans="1:8" ht="17.100000000000001" customHeight="1" x14ac:dyDescent="0.25">
      <c r="A526" s="759"/>
      <c r="B526" s="760"/>
      <c r="C526" s="760"/>
      <c r="D526" s="760"/>
      <c r="E526" s="760"/>
      <c r="F526" s="760"/>
      <c r="G526" s="760"/>
      <c r="H526" s="761"/>
    </row>
    <row r="527" spans="1:8" ht="24.75" customHeight="1" x14ac:dyDescent="0.25">
      <c r="A527" s="720" t="str">
        <f>Presupuesto!A8</f>
        <v>ADECUACION Y MEJORAMIENTO DE AULAS ESCOLARES UBICADA EN LA INSTITUCION EDUCATIVA TECNICO COMERCIAL LA DORADA SEDE ESCUELA CENTRAL DEL MUNICIPIO DE SAN MIGUEL PUTUMAYO</v>
      </c>
      <c r="B527" s="721"/>
      <c r="C527" s="721"/>
      <c r="D527" s="721"/>
      <c r="E527" s="721"/>
      <c r="F527" s="721"/>
      <c r="G527" s="721"/>
      <c r="H527" s="722"/>
    </row>
    <row r="528" spans="1:8" ht="18" customHeight="1" thickBot="1" x14ac:dyDescent="0.3">
      <c r="A528" s="720"/>
      <c r="B528" s="721"/>
      <c r="C528" s="721"/>
      <c r="D528" s="721"/>
      <c r="E528" s="721"/>
      <c r="F528" s="721"/>
      <c r="G528" s="721"/>
      <c r="H528" s="722"/>
    </row>
    <row r="529" spans="1:8" ht="17.100000000000001" customHeight="1" thickBot="1" x14ac:dyDescent="0.3">
      <c r="A529" s="351">
        <f>Presupuesto!A26</f>
        <v>2.2999999999999998</v>
      </c>
      <c r="B529" s="732" t="str">
        <f>Presupuesto!B26</f>
        <v>SOLADO LIMPIEZA E=0.05 R-14MPA</v>
      </c>
      <c r="C529" s="733"/>
      <c r="D529" s="733"/>
      <c r="E529" s="733"/>
      <c r="F529" s="734"/>
      <c r="G529" s="352" t="s">
        <v>28</v>
      </c>
      <c r="H529" s="444" t="str">
        <f>Presupuesto!D26</f>
        <v>M2</v>
      </c>
    </row>
    <row r="530" spans="1:8" ht="17.100000000000001" customHeight="1" x14ac:dyDescent="0.25">
      <c r="A530" s="247"/>
      <c r="H530" s="370"/>
    </row>
    <row r="531" spans="1:8" ht="17.100000000000001" customHeight="1" x14ac:dyDescent="0.25">
      <c r="A531" s="206" t="s">
        <v>29</v>
      </c>
      <c r="B531" s="764" t="s">
        <v>30</v>
      </c>
      <c r="C531" s="765"/>
      <c r="D531" s="765"/>
      <c r="E531" s="765"/>
      <c r="F531" s="765"/>
      <c r="G531" s="766"/>
      <c r="H531" s="370"/>
    </row>
    <row r="532" spans="1:8" ht="17.100000000000001" customHeight="1" x14ac:dyDescent="0.25">
      <c r="A532" s="225"/>
      <c r="B532" s="735" t="s">
        <v>31</v>
      </c>
      <c r="C532" s="736"/>
      <c r="D532" s="225" t="s">
        <v>32</v>
      </c>
      <c r="E532" s="225" t="s">
        <v>33</v>
      </c>
      <c r="F532" s="225" t="s">
        <v>34</v>
      </c>
      <c r="G532" s="225" t="s">
        <v>35</v>
      </c>
      <c r="H532" s="370"/>
    </row>
    <row r="533" spans="1:8" ht="17.100000000000001" customHeight="1" x14ac:dyDescent="0.25">
      <c r="A533" s="199"/>
      <c r="B533" s="735" t="s">
        <v>67</v>
      </c>
      <c r="C533" s="736"/>
      <c r="D533" s="199"/>
      <c r="E533" s="207"/>
      <c r="F533" s="207">
        <v>0.1</v>
      </c>
      <c r="G533" s="218">
        <f>ROUND((H550*F533),2)</f>
        <v>831.25</v>
      </c>
      <c r="H533" s="370"/>
    </row>
    <row r="534" spans="1:8" ht="17.100000000000001" customHeight="1" x14ac:dyDescent="0.25">
      <c r="A534" s="199"/>
      <c r="B534" s="735"/>
      <c r="C534" s="736"/>
      <c r="D534" s="199"/>
      <c r="E534" s="207"/>
      <c r="F534" s="207"/>
      <c r="G534" s="369"/>
      <c r="H534" s="370"/>
    </row>
    <row r="535" spans="1:8" ht="17.100000000000001" customHeight="1" x14ac:dyDescent="0.25">
      <c r="A535" s="199"/>
      <c r="B535" s="735"/>
      <c r="C535" s="736"/>
      <c r="D535" s="199"/>
      <c r="E535" s="207"/>
      <c r="F535" s="207"/>
      <c r="G535" s="369"/>
      <c r="H535" s="370"/>
    </row>
    <row r="536" spans="1:8" ht="17.100000000000001" customHeight="1" x14ac:dyDescent="0.25">
      <c r="A536" s="248"/>
      <c r="E536" s="208" t="s">
        <v>36</v>
      </c>
      <c r="F536" s="208"/>
      <c r="G536" s="208"/>
      <c r="H536" s="370">
        <f>SUM(G533:G535)</f>
        <v>831.25</v>
      </c>
    </row>
    <row r="537" spans="1:8" ht="17.100000000000001" customHeight="1" x14ac:dyDescent="0.25">
      <c r="A537" s="206" t="s">
        <v>37</v>
      </c>
      <c r="B537" s="764" t="s">
        <v>38</v>
      </c>
      <c r="C537" s="765"/>
      <c r="D537" s="765"/>
      <c r="E537" s="765"/>
      <c r="F537" s="765"/>
      <c r="G537" s="766"/>
      <c r="H537" s="370"/>
    </row>
    <row r="538" spans="1:8" ht="17.100000000000001" customHeight="1" x14ac:dyDescent="0.25">
      <c r="A538" s="225"/>
      <c r="B538" s="735" t="s">
        <v>31</v>
      </c>
      <c r="C538" s="736"/>
      <c r="D538" s="199" t="s">
        <v>12</v>
      </c>
      <c r="E538" s="209" t="s">
        <v>39</v>
      </c>
      <c r="F538" s="209" t="s">
        <v>40</v>
      </c>
      <c r="G538" s="209" t="s">
        <v>35</v>
      </c>
      <c r="H538" s="370"/>
    </row>
    <row r="539" spans="1:8" ht="17.100000000000001" customHeight="1" x14ac:dyDescent="0.25">
      <c r="A539" s="199"/>
      <c r="B539" s="739" t="s">
        <v>346</v>
      </c>
      <c r="C539" s="740"/>
      <c r="D539" s="221" t="s">
        <v>17</v>
      </c>
      <c r="E539" s="207">
        <v>0.06</v>
      </c>
      <c r="F539" s="369">
        <f>'BASICOS RURAL'!H88</f>
        <v>579600</v>
      </c>
      <c r="G539" s="369">
        <f>ROUND((E539*F539),2)</f>
        <v>34776</v>
      </c>
      <c r="H539" s="370"/>
    </row>
    <row r="540" spans="1:8" ht="17.100000000000001" customHeight="1" x14ac:dyDescent="0.25">
      <c r="A540" s="199"/>
      <c r="B540" s="739"/>
      <c r="C540" s="740"/>
      <c r="D540" s="221"/>
      <c r="E540" s="207"/>
      <c r="F540" s="369"/>
      <c r="G540" s="369">
        <f>ROUND((E540*F540),2)</f>
        <v>0</v>
      </c>
      <c r="H540" s="370"/>
    </row>
    <row r="541" spans="1:8" ht="17.100000000000001" customHeight="1" x14ac:dyDescent="0.25">
      <c r="A541" s="199"/>
      <c r="B541" s="739"/>
      <c r="C541" s="740"/>
      <c r="D541" s="199"/>
      <c r="E541" s="221"/>
      <c r="F541" s="369"/>
      <c r="G541" s="369">
        <f>ROUND((E541*F541),2)</f>
        <v>0</v>
      </c>
      <c r="H541" s="370"/>
    </row>
    <row r="542" spans="1:8" ht="17.100000000000001" customHeight="1" x14ac:dyDescent="0.25">
      <c r="A542" s="199"/>
      <c r="B542" s="769"/>
      <c r="C542" s="769"/>
      <c r="D542" s="426"/>
      <c r="E542" s="207"/>
      <c r="F542" s="369"/>
      <c r="G542" s="369">
        <f>ROUND((E542*F542),2)</f>
        <v>0</v>
      </c>
      <c r="H542" s="370"/>
    </row>
    <row r="543" spans="1:8" ht="17.100000000000001" customHeight="1" x14ac:dyDescent="0.25">
      <c r="A543" s="199"/>
      <c r="B543" s="739"/>
      <c r="C543" s="740"/>
      <c r="D543" s="199"/>
      <c r="E543" s="207"/>
      <c r="F543" s="369"/>
      <c r="G543" s="369">
        <f>ROUND((E543*F543),2)</f>
        <v>0</v>
      </c>
      <c r="H543" s="370"/>
    </row>
    <row r="544" spans="1:8" ht="17.100000000000001" customHeight="1" x14ac:dyDescent="0.25">
      <c r="A544" s="248" t="s">
        <v>41</v>
      </c>
      <c r="E544" s="208" t="s">
        <v>42</v>
      </c>
      <c r="F544" s="208"/>
      <c r="G544" s="208"/>
      <c r="H544" s="370">
        <f>SUM(G539:G543)</f>
        <v>34776</v>
      </c>
    </row>
    <row r="545" spans="1:8" ht="17.100000000000001" customHeight="1" x14ac:dyDescent="0.25">
      <c r="A545" s="206" t="s">
        <v>43</v>
      </c>
      <c r="B545" s="764" t="s">
        <v>44</v>
      </c>
      <c r="C545" s="765"/>
      <c r="D545" s="765"/>
      <c r="E545" s="765"/>
      <c r="F545" s="765"/>
      <c r="G545" s="766"/>
      <c r="H545" s="370"/>
    </row>
    <row r="546" spans="1:8" ht="17.100000000000001" customHeight="1" x14ac:dyDescent="0.25">
      <c r="A546" s="199" t="s">
        <v>45</v>
      </c>
      <c r="B546" s="225" t="s">
        <v>31</v>
      </c>
      <c r="C546" s="225" t="s">
        <v>46</v>
      </c>
      <c r="D546" s="225" t="s">
        <v>47</v>
      </c>
      <c r="E546" s="209" t="s">
        <v>48</v>
      </c>
      <c r="F546" s="207" t="s">
        <v>34</v>
      </c>
      <c r="G546" s="207" t="s">
        <v>35</v>
      </c>
      <c r="H546" s="370"/>
    </row>
    <row r="547" spans="1:8" ht="17.100000000000001" customHeight="1" x14ac:dyDescent="0.25">
      <c r="A547" s="199">
        <v>1</v>
      </c>
      <c r="B547" s="199" t="s">
        <v>189</v>
      </c>
      <c r="C547" s="211">
        <v>70000</v>
      </c>
      <c r="D547" s="212">
        <v>0.75</v>
      </c>
      <c r="E547" s="210">
        <f>+(A547*C547)+(A547*C547*D547)</f>
        <v>122500</v>
      </c>
      <c r="F547" s="221">
        <v>40</v>
      </c>
      <c r="G547" s="218">
        <f>ROUND(((E547)/(F547)),2)</f>
        <v>3062.5</v>
      </c>
      <c r="H547" s="370"/>
    </row>
    <row r="548" spans="1:8" ht="17.100000000000001" customHeight="1" x14ac:dyDescent="0.25">
      <c r="A548" s="199">
        <v>1</v>
      </c>
      <c r="B548" s="199" t="s">
        <v>233</v>
      </c>
      <c r="C548" s="211">
        <v>120000</v>
      </c>
      <c r="D548" s="212">
        <v>0.75</v>
      </c>
      <c r="E548" s="210">
        <f>+(A548*C548)+(A548*C548*D548)</f>
        <v>210000</v>
      </c>
      <c r="F548" s="221">
        <v>40</v>
      </c>
      <c r="G548" s="218">
        <f>ROUND(((E548)/(F548)),2)</f>
        <v>5250</v>
      </c>
      <c r="H548" s="370"/>
    </row>
    <row r="549" spans="1:8" ht="17.100000000000001" customHeight="1" x14ac:dyDescent="0.25">
      <c r="A549" s="199"/>
      <c r="B549" s="199"/>
      <c r="C549" s="199"/>
      <c r="D549" s="199"/>
      <c r="E549" s="207"/>
      <c r="F549" s="207"/>
      <c r="G549" s="207"/>
      <c r="H549" s="370"/>
    </row>
    <row r="550" spans="1:8" ht="17.100000000000001" customHeight="1" x14ac:dyDescent="0.25">
      <c r="A550" s="248"/>
      <c r="E550" s="208" t="s">
        <v>50</v>
      </c>
      <c r="F550" s="208"/>
      <c r="G550" s="208"/>
      <c r="H550" s="370">
        <f>SUM(G547)+(G548)</f>
        <v>8312.5</v>
      </c>
    </row>
    <row r="551" spans="1:8" ht="17.100000000000001" customHeight="1" x14ac:dyDescent="0.25">
      <c r="A551" s="206" t="s">
        <v>51</v>
      </c>
      <c r="B551" s="764" t="s">
        <v>18</v>
      </c>
      <c r="C551" s="765"/>
      <c r="D551" s="765"/>
      <c r="E551" s="765"/>
      <c r="F551" s="765"/>
      <c r="G551" s="766"/>
      <c r="H551" s="370"/>
    </row>
    <row r="552" spans="1:8" ht="17.100000000000001" customHeight="1" x14ac:dyDescent="0.25">
      <c r="A552" s="199"/>
      <c r="B552" s="199" t="s">
        <v>31</v>
      </c>
      <c r="C552" s="225" t="s">
        <v>12</v>
      </c>
      <c r="D552" s="225" t="s">
        <v>13</v>
      </c>
      <c r="E552" s="225" t="s">
        <v>52</v>
      </c>
      <c r="F552" s="225"/>
      <c r="G552" s="207" t="s">
        <v>53</v>
      </c>
      <c r="H552" s="370"/>
    </row>
    <row r="553" spans="1:8" ht="17.100000000000001" customHeight="1" x14ac:dyDescent="0.25">
      <c r="A553" s="199"/>
      <c r="B553" s="199"/>
      <c r="C553" s="214"/>
      <c r="D553" s="199"/>
      <c r="E553" s="207"/>
      <c r="F553" s="207"/>
      <c r="G553" s="207"/>
      <c r="H553" s="370"/>
    </row>
    <row r="554" spans="1:8" ht="17.100000000000001" customHeight="1" x14ac:dyDescent="0.25">
      <c r="A554" s="199"/>
      <c r="B554" s="199"/>
      <c r="C554" s="210"/>
      <c r="D554" s="199"/>
      <c r="E554" s="207"/>
      <c r="F554" s="207"/>
      <c r="G554" s="207"/>
      <c r="H554" s="370"/>
    </row>
    <row r="555" spans="1:8" ht="17.100000000000001" customHeight="1" x14ac:dyDescent="0.25">
      <c r="A555" s="199"/>
      <c r="B555" s="199"/>
      <c r="C555" s="199"/>
      <c r="D555" s="199"/>
      <c r="E555" s="207"/>
      <c r="F555" s="207"/>
      <c r="G555" s="207"/>
      <c r="H555" s="370"/>
    </row>
    <row r="556" spans="1:8" ht="17.100000000000001" customHeight="1" x14ac:dyDescent="0.25">
      <c r="A556" s="248"/>
      <c r="E556" s="208" t="s">
        <v>50</v>
      </c>
      <c r="F556" s="208"/>
      <c r="G556" s="208"/>
      <c r="H556" s="370">
        <f>ROUND(SUM(G553)+(G554),0)</f>
        <v>0</v>
      </c>
    </row>
    <row r="557" spans="1:8" ht="17.100000000000001" customHeight="1" x14ac:dyDescent="0.25">
      <c r="A557" s="247"/>
      <c r="E557" s="208"/>
      <c r="F557" s="208"/>
      <c r="G557" s="208"/>
      <c r="H557" s="370"/>
    </row>
    <row r="558" spans="1:8" ht="17.100000000000001" customHeight="1" x14ac:dyDescent="0.25">
      <c r="A558" s="247"/>
      <c r="D558" s="215" t="s">
        <v>54</v>
      </c>
      <c r="E558" s="216"/>
      <c r="F558" s="216"/>
      <c r="G558" s="216"/>
      <c r="H558" s="370">
        <f>ROUND((SUM(H534:H557)),2)</f>
        <v>43919.75</v>
      </c>
    </row>
    <row r="559" spans="1:8" ht="17.100000000000001" customHeight="1" x14ac:dyDescent="0.25">
      <c r="A559" s="247"/>
      <c r="E559" s="208"/>
      <c r="F559" s="208"/>
      <c r="G559" s="208"/>
      <c r="H559" s="370"/>
    </row>
    <row r="560" spans="1:8" ht="17.100000000000001" customHeight="1" x14ac:dyDescent="0.25">
      <c r="A560" s="206" t="s">
        <v>55</v>
      </c>
      <c r="B560" s="764" t="s">
        <v>56</v>
      </c>
      <c r="C560" s="765"/>
      <c r="D560" s="765"/>
      <c r="E560" s="765"/>
      <c r="F560" s="765"/>
      <c r="G560" s="766"/>
      <c r="H560" s="370"/>
    </row>
    <row r="561" spans="1:8" ht="17.100000000000001" customHeight="1" x14ac:dyDescent="0.25">
      <c r="A561" s="225"/>
      <c r="B561" s="225" t="s">
        <v>31</v>
      </c>
      <c r="C561" s="225" t="s">
        <v>57</v>
      </c>
      <c r="D561" s="199" t="s">
        <v>58</v>
      </c>
      <c r="E561" s="207"/>
      <c r="F561" s="207" t="s">
        <v>59</v>
      </c>
      <c r="G561" s="207"/>
      <c r="H561" s="370"/>
    </row>
    <row r="562" spans="1:8" ht="17.100000000000001" customHeight="1" x14ac:dyDescent="0.25">
      <c r="A562" s="199"/>
      <c r="B562" s="225" t="s">
        <v>60</v>
      </c>
      <c r="C562" s="212">
        <v>0.28000000000000003</v>
      </c>
      <c r="D562" s="199"/>
      <c r="E562" s="210"/>
      <c r="F562" s="199"/>
      <c r="G562" s="218">
        <f>ROUND((H558*C562),2)</f>
        <v>12297.53</v>
      </c>
      <c r="H562" s="370"/>
    </row>
    <row r="563" spans="1:8" ht="17.100000000000001" customHeight="1" x14ac:dyDescent="0.25">
      <c r="A563" s="199"/>
      <c r="B563" s="225" t="s">
        <v>61</v>
      </c>
      <c r="C563" s="212">
        <v>0.01</v>
      </c>
      <c r="D563" s="199"/>
      <c r="E563" s="210"/>
      <c r="F563" s="199"/>
      <c r="G563" s="218">
        <f>ROUND((H558*C563),2)</f>
        <v>439.2</v>
      </c>
      <c r="H563" s="370"/>
    </row>
    <row r="564" spans="1:8" ht="17.100000000000001" customHeight="1" x14ac:dyDescent="0.25">
      <c r="A564" s="199"/>
      <c r="B564" s="225" t="s">
        <v>62</v>
      </c>
      <c r="C564" s="212">
        <v>0.03</v>
      </c>
      <c r="D564" s="199"/>
      <c r="E564" s="210"/>
      <c r="F564" s="199"/>
      <c r="G564" s="218">
        <f>ROUND((H558*C564),2)</f>
        <v>1317.59</v>
      </c>
      <c r="H564" s="370"/>
    </row>
    <row r="565" spans="1:8" ht="17.100000000000001" customHeight="1" x14ac:dyDescent="0.25">
      <c r="A565" s="247"/>
      <c r="D565" s="215" t="s">
        <v>63</v>
      </c>
      <c r="E565" s="216"/>
      <c r="F565" s="216"/>
      <c r="G565" s="216"/>
      <c r="H565" s="370">
        <f>SUM(G561:G564)</f>
        <v>14054.320000000002</v>
      </c>
    </row>
    <row r="566" spans="1:8" ht="17.100000000000001" customHeight="1" x14ac:dyDescent="0.25">
      <c r="A566" s="247"/>
      <c r="E566" s="208"/>
      <c r="F566" s="208"/>
      <c r="G566" s="208"/>
      <c r="H566" s="370"/>
    </row>
    <row r="567" spans="1:8" ht="17.100000000000001" customHeight="1" x14ac:dyDescent="0.25">
      <c r="A567" s="247"/>
      <c r="D567" s="215" t="s">
        <v>64</v>
      </c>
      <c r="E567" s="216"/>
      <c r="F567" s="216"/>
      <c r="G567" s="208"/>
      <c r="H567" s="370">
        <f>H558+H565</f>
        <v>57974.07</v>
      </c>
    </row>
    <row r="568" spans="1:8" ht="17.100000000000001" customHeight="1" x14ac:dyDescent="0.25">
      <c r="A568" s="247"/>
      <c r="D568" s="215"/>
      <c r="E568" s="216"/>
      <c r="F568" s="216"/>
      <c r="G568" s="208"/>
      <c r="H568" s="370"/>
    </row>
    <row r="569" spans="1:8" ht="17.100000000000001" customHeight="1" x14ac:dyDescent="0.25">
      <c r="A569" s="247"/>
      <c r="E569" s="216"/>
      <c r="F569" s="216"/>
      <c r="G569" s="208"/>
      <c r="H569" s="370"/>
    </row>
    <row r="570" spans="1:8" ht="17.100000000000001" customHeight="1" x14ac:dyDescent="0.25">
      <c r="A570" s="205"/>
      <c r="B570" s="204"/>
      <c r="E570" s="219"/>
      <c r="F570" s="220"/>
      <c r="G570" s="203"/>
      <c r="H570" s="370"/>
    </row>
    <row r="571" spans="1:8" ht="17.100000000000001" customHeight="1" x14ac:dyDescent="0.25">
      <c r="A571" s="249" t="str">
        <f>+A515</f>
        <v>ING JHON ALEXANDER ARIAS</v>
      </c>
      <c r="B571" s="217"/>
      <c r="E571" s="223" t="str">
        <f>Presupuesto!D65</f>
        <v>ARQ. GUILLERMO YAMID VALLEJOS BENAVIDES</v>
      </c>
      <c r="F571" s="217"/>
      <c r="G571" s="217"/>
      <c r="H571" s="370"/>
    </row>
    <row r="572" spans="1:8" ht="17.100000000000001" customHeight="1" x14ac:dyDescent="0.25">
      <c r="A572" s="250" t="str">
        <f t="shared" ref="A572:A573" si="10">+A516</f>
        <v>APOYO PROFESIONAL SPOPM</v>
      </c>
      <c r="B572" s="217"/>
      <c r="E572" s="217" t="str">
        <f>Presupuesto!D66</f>
        <v>SECRETARIO DE PLANEACION Y OBRAS PUBLICAS</v>
      </c>
      <c r="F572" s="217"/>
      <c r="G572" s="217"/>
      <c r="H572" s="370"/>
    </row>
    <row r="573" spans="1:8" ht="17.100000000000001" customHeight="1" x14ac:dyDescent="0.25">
      <c r="A573" s="250" t="str">
        <f t="shared" si="10"/>
        <v>MP 111037-0703225 NRÑ</v>
      </c>
      <c r="B573" s="251"/>
      <c r="C573" s="204"/>
      <c r="D573" s="204"/>
      <c r="E573" s="251" t="str">
        <f>Presupuesto!D67</f>
        <v>SAN MIGUEL - PUTUMAYO</v>
      </c>
      <c r="F573" s="251"/>
      <c r="G573" s="251"/>
      <c r="H573" s="445"/>
    </row>
    <row r="575" spans="1:8" ht="17.100000000000001" customHeight="1" x14ac:dyDescent="0.3">
      <c r="A575" s="705"/>
      <c r="B575" s="706"/>
      <c r="C575" s="638" t="s">
        <v>224</v>
      </c>
      <c r="D575" s="625" t="s">
        <v>225</v>
      </c>
      <c r="E575" s="626"/>
      <c r="F575" s="275">
        <v>103</v>
      </c>
      <c r="G575" s="753"/>
      <c r="H575" s="754"/>
    </row>
    <row r="576" spans="1:8" ht="17.100000000000001" customHeight="1" x14ac:dyDescent="0.25">
      <c r="A576" s="707"/>
      <c r="B576" s="708"/>
      <c r="C576" s="639"/>
      <c r="D576" s="634" t="s">
        <v>195</v>
      </c>
      <c r="E576" s="635"/>
      <c r="F576" s="712">
        <v>51</v>
      </c>
      <c r="G576" s="755"/>
      <c r="H576" s="756"/>
    </row>
    <row r="577" spans="1:8" ht="17.100000000000001" customHeight="1" x14ac:dyDescent="0.25">
      <c r="A577" s="707"/>
      <c r="B577" s="708"/>
      <c r="C577" s="307" t="s">
        <v>196</v>
      </c>
      <c r="D577" s="636"/>
      <c r="E577" s="637"/>
      <c r="F577" s="713"/>
      <c r="G577" s="755"/>
      <c r="H577" s="756"/>
    </row>
    <row r="578" spans="1:8" ht="17.100000000000001" customHeight="1" x14ac:dyDescent="0.25">
      <c r="A578" s="707"/>
      <c r="B578" s="708"/>
      <c r="C578" s="308" t="s">
        <v>197</v>
      </c>
      <c r="D578" s="640" t="s">
        <v>198</v>
      </c>
      <c r="E578" s="641"/>
      <c r="F578" s="309">
        <v>1</v>
      </c>
      <c r="G578" s="755"/>
      <c r="H578" s="756"/>
    </row>
    <row r="579" spans="1:8" ht="27.6" customHeight="1" x14ac:dyDescent="0.25">
      <c r="A579" s="707"/>
      <c r="B579" s="708"/>
      <c r="C579" s="714" t="s">
        <v>199</v>
      </c>
      <c r="D579" s="716" t="s">
        <v>200</v>
      </c>
      <c r="E579" s="717"/>
      <c r="F579" s="307" t="s">
        <v>201</v>
      </c>
      <c r="G579" s="755"/>
      <c r="H579" s="756"/>
    </row>
    <row r="580" spans="1:8" ht="17.100000000000001" customHeight="1" x14ac:dyDescent="0.25">
      <c r="A580" s="709"/>
      <c r="B580" s="710"/>
      <c r="C580" s="715"/>
      <c r="D580" s="718"/>
      <c r="E580" s="719"/>
      <c r="F580" s="310">
        <v>44216</v>
      </c>
      <c r="G580" s="757"/>
      <c r="H580" s="758"/>
    </row>
    <row r="581" spans="1:8" ht="17.100000000000001" customHeight="1" x14ac:dyDescent="0.25">
      <c r="A581" s="759"/>
      <c r="B581" s="760"/>
      <c r="C581" s="760"/>
      <c r="D581" s="760"/>
      <c r="E581" s="760"/>
      <c r="F581" s="760"/>
      <c r="G581" s="760"/>
      <c r="H581" s="761"/>
    </row>
    <row r="582" spans="1:8" ht="24.75" customHeight="1" x14ac:dyDescent="0.25">
      <c r="A582" s="720" t="str">
        <f>Presupuesto!A8</f>
        <v>ADECUACION Y MEJORAMIENTO DE AULAS ESCOLARES UBICADA EN LA INSTITUCION EDUCATIVA TECNICO COMERCIAL LA DORADA SEDE ESCUELA CENTRAL DEL MUNICIPIO DE SAN MIGUEL PUTUMAYO</v>
      </c>
      <c r="B582" s="721"/>
      <c r="C582" s="721"/>
      <c r="D582" s="721"/>
      <c r="E582" s="721"/>
      <c r="F582" s="721"/>
      <c r="G582" s="721"/>
      <c r="H582" s="722"/>
    </row>
    <row r="583" spans="1:8" ht="18" customHeight="1" thickBot="1" x14ac:dyDescent="0.3">
      <c r="A583" s="720"/>
      <c r="B583" s="721"/>
      <c r="C583" s="721"/>
      <c r="D583" s="721"/>
      <c r="E583" s="721"/>
      <c r="F583" s="721"/>
      <c r="G583" s="721"/>
      <c r="H583" s="722"/>
    </row>
    <row r="584" spans="1:8" ht="17.100000000000001" customHeight="1" thickBot="1" x14ac:dyDescent="0.3">
      <c r="A584" s="351">
        <f>Presupuesto!A27</f>
        <v>2.4</v>
      </c>
      <c r="B584" s="732" t="str">
        <f>Presupuesto!B27</f>
        <v>CONCRETO PARA ZAPATAS R-21MPA</v>
      </c>
      <c r="C584" s="733"/>
      <c r="D584" s="733"/>
      <c r="E584" s="733"/>
      <c r="F584" s="734"/>
      <c r="G584" s="352" t="s">
        <v>28</v>
      </c>
      <c r="H584" s="444" t="str">
        <f>Presupuesto!D27</f>
        <v>M3</v>
      </c>
    </row>
    <row r="585" spans="1:8" ht="17.100000000000001" customHeight="1" x14ac:dyDescent="0.25">
      <c r="A585" s="247"/>
      <c r="H585" s="370"/>
    </row>
    <row r="586" spans="1:8" ht="17.100000000000001" customHeight="1" x14ac:dyDescent="0.25">
      <c r="A586" s="206" t="s">
        <v>29</v>
      </c>
      <c r="B586" s="764" t="s">
        <v>30</v>
      </c>
      <c r="C586" s="765"/>
      <c r="D586" s="765"/>
      <c r="E586" s="765"/>
      <c r="F586" s="765"/>
      <c r="G586" s="766"/>
      <c r="H586" s="370"/>
    </row>
    <row r="587" spans="1:8" ht="17.100000000000001" customHeight="1" x14ac:dyDescent="0.25">
      <c r="A587" s="225"/>
      <c r="B587" s="735" t="s">
        <v>31</v>
      </c>
      <c r="C587" s="736"/>
      <c r="D587" s="225" t="s">
        <v>32</v>
      </c>
      <c r="E587" s="225" t="s">
        <v>33</v>
      </c>
      <c r="F587" s="225" t="s">
        <v>34</v>
      </c>
      <c r="G587" s="225" t="s">
        <v>35</v>
      </c>
      <c r="H587" s="370"/>
    </row>
    <row r="588" spans="1:8" ht="17.100000000000001" customHeight="1" x14ac:dyDescent="0.25">
      <c r="A588" s="199"/>
      <c r="B588" s="735" t="s">
        <v>67</v>
      </c>
      <c r="C588" s="736"/>
      <c r="D588" s="199"/>
      <c r="E588" s="207"/>
      <c r="F588" s="207">
        <v>0.1</v>
      </c>
      <c r="G588" s="218">
        <f>ROUND((H605*F588),2)</f>
        <v>45500</v>
      </c>
      <c r="H588" s="370"/>
    </row>
    <row r="589" spans="1:8" ht="17.100000000000001" customHeight="1" x14ac:dyDescent="0.25">
      <c r="A589" s="199"/>
      <c r="B589" s="735"/>
      <c r="C589" s="736"/>
      <c r="D589" s="199"/>
      <c r="E589" s="207"/>
      <c r="F589" s="207"/>
      <c r="G589" s="207"/>
      <c r="H589" s="370"/>
    </row>
    <row r="590" spans="1:8" ht="17.100000000000001" customHeight="1" x14ac:dyDescent="0.25">
      <c r="A590" s="199"/>
      <c r="B590" s="735"/>
      <c r="C590" s="736"/>
      <c r="D590" s="199"/>
      <c r="E590" s="207"/>
      <c r="F590" s="207"/>
      <c r="G590" s="207"/>
      <c r="H590" s="370"/>
    </row>
    <row r="591" spans="1:8" ht="17.100000000000001" customHeight="1" x14ac:dyDescent="0.25">
      <c r="A591" s="248"/>
      <c r="E591" s="208" t="s">
        <v>36</v>
      </c>
      <c r="F591" s="208"/>
      <c r="G591" s="208"/>
      <c r="H591" s="370">
        <f>SUM(G588:G590)</f>
        <v>45500</v>
      </c>
    </row>
    <row r="592" spans="1:8" ht="17.100000000000001" customHeight="1" x14ac:dyDescent="0.25">
      <c r="A592" s="206" t="s">
        <v>37</v>
      </c>
      <c r="B592" s="764" t="s">
        <v>38</v>
      </c>
      <c r="C592" s="765"/>
      <c r="D592" s="765"/>
      <c r="E592" s="765"/>
      <c r="F592" s="765"/>
      <c r="G592" s="766"/>
      <c r="H592" s="370"/>
    </row>
    <row r="593" spans="1:8" ht="17.100000000000001" customHeight="1" x14ac:dyDescent="0.25">
      <c r="A593" s="225"/>
      <c r="B593" s="735" t="s">
        <v>31</v>
      </c>
      <c r="C593" s="736"/>
      <c r="D593" s="199" t="s">
        <v>12</v>
      </c>
      <c r="E593" s="209" t="s">
        <v>39</v>
      </c>
      <c r="F593" s="209" t="s">
        <v>40</v>
      </c>
      <c r="G593" s="209" t="s">
        <v>35</v>
      </c>
      <c r="H593" s="370"/>
    </row>
    <row r="594" spans="1:8" ht="17.100000000000001" customHeight="1" x14ac:dyDescent="0.25">
      <c r="A594" s="199"/>
      <c r="B594" s="741" t="s">
        <v>269</v>
      </c>
      <c r="C594" s="742"/>
      <c r="D594" s="417" t="s">
        <v>232</v>
      </c>
      <c r="E594" s="418">
        <v>1</v>
      </c>
      <c r="F594" s="419">
        <f>+'BASICOS URBANOS'!H45</f>
        <v>714616</v>
      </c>
      <c r="G594" s="207">
        <f>ROUND((E594*F594),2)</f>
        <v>714616</v>
      </c>
      <c r="H594" s="370"/>
    </row>
    <row r="595" spans="1:8" ht="17.100000000000001" customHeight="1" x14ac:dyDescent="0.25">
      <c r="A595" s="199"/>
      <c r="B595" s="737" t="s">
        <v>270</v>
      </c>
      <c r="C595" s="738"/>
      <c r="D595" s="225" t="s">
        <v>271</v>
      </c>
      <c r="E595" s="209">
        <v>0.21</v>
      </c>
      <c r="F595" s="420">
        <v>5500</v>
      </c>
      <c r="G595" s="207">
        <f>ROUND((E595*F595),2)</f>
        <v>1155</v>
      </c>
      <c r="H595" s="370"/>
    </row>
    <row r="596" spans="1:8" ht="17.100000000000001" customHeight="1" x14ac:dyDescent="0.25">
      <c r="A596" s="199"/>
      <c r="B596" s="737" t="s">
        <v>272</v>
      </c>
      <c r="C596" s="738"/>
      <c r="D596" s="231" t="s">
        <v>152</v>
      </c>
      <c r="E596" s="209">
        <v>3</v>
      </c>
      <c r="F596" s="421">
        <v>22000</v>
      </c>
      <c r="G596" s="207">
        <f>ROUND((E596*F596),2)</f>
        <v>66000</v>
      </c>
      <c r="H596" s="370"/>
    </row>
    <row r="597" spans="1:8" ht="17.100000000000001" customHeight="1" x14ac:dyDescent="0.25">
      <c r="A597" s="199"/>
      <c r="B597" s="737" t="s">
        <v>273</v>
      </c>
      <c r="C597" s="738"/>
      <c r="D597" s="231" t="s">
        <v>152</v>
      </c>
      <c r="E597" s="209">
        <v>5</v>
      </c>
      <c r="F597" s="421">
        <v>13500</v>
      </c>
      <c r="G597" s="207">
        <f>ROUND((E597*F597),2)</f>
        <v>67500</v>
      </c>
      <c r="H597" s="370"/>
    </row>
    <row r="598" spans="1:8" ht="17.100000000000001" customHeight="1" x14ac:dyDescent="0.25">
      <c r="A598" s="199"/>
      <c r="B598" s="737" t="s">
        <v>274</v>
      </c>
      <c r="C598" s="738"/>
      <c r="D598" s="422" t="s">
        <v>242</v>
      </c>
      <c r="E598" s="209">
        <v>0.5</v>
      </c>
      <c r="F598" s="421">
        <v>7000</v>
      </c>
      <c r="G598" s="207">
        <f>ROUND((E598*F598),2)</f>
        <v>3500</v>
      </c>
      <c r="H598" s="370"/>
    </row>
    <row r="599" spans="1:8" ht="17.100000000000001" customHeight="1" x14ac:dyDescent="0.25">
      <c r="A599" s="248" t="s">
        <v>41</v>
      </c>
      <c r="E599" s="208" t="s">
        <v>42</v>
      </c>
      <c r="F599" s="208"/>
      <c r="G599" s="208"/>
      <c r="H599" s="370">
        <f>SUM(G594:G598)</f>
        <v>852771</v>
      </c>
    </row>
    <row r="600" spans="1:8" ht="17.100000000000001" customHeight="1" x14ac:dyDescent="0.25">
      <c r="A600" s="206" t="s">
        <v>43</v>
      </c>
      <c r="B600" s="764" t="s">
        <v>44</v>
      </c>
      <c r="C600" s="765"/>
      <c r="D600" s="765"/>
      <c r="E600" s="765"/>
      <c r="F600" s="765"/>
      <c r="G600" s="766"/>
      <c r="H600" s="370"/>
    </row>
    <row r="601" spans="1:8" ht="17.100000000000001" customHeight="1" x14ac:dyDescent="0.25">
      <c r="A601" s="199" t="s">
        <v>45</v>
      </c>
      <c r="B601" s="225" t="s">
        <v>31</v>
      </c>
      <c r="C601" s="225" t="s">
        <v>46</v>
      </c>
      <c r="D601" s="225" t="s">
        <v>47</v>
      </c>
      <c r="E601" s="209" t="s">
        <v>48</v>
      </c>
      <c r="F601" s="207" t="s">
        <v>34</v>
      </c>
      <c r="G601" s="207" t="s">
        <v>35</v>
      </c>
      <c r="H601" s="370"/>
    </row>
    <row r="602" spans="1:8" ht="17.100000000000001" customHeight="1" x14ac:dyDescent="0.25">
      <c r="A602" s="199">
        <v>2</v>
      </c>
      <c r="B602" s="199" t="s">
        <v>189</v>
      </c>
      <c r="C602" s="211">
        <v>70000</v>
      </c>
      <c r="D602" s="212">
        <v>0.75</v>
      </c>
      <c r="E602" s="210">
        <f>+(A602*C602)+(A602*C602*D602)</f>
        <v>245000</v>
      </c>
      <c r="F602" s="221">
        <v>1</v>
      </c>
      <c r="G602" s="218">
        <f>ROUND(((E602)/(F602)),2)</f>
        <v>245000</v>
      </c>
      <c r="H602" s="370"/>
    </row>
    <row r="603" spans="1:8" ht="17.100000000000001" customHeight="1" x14ac:dyDescent="0.25">
      <c r="A603" s="199">
        <v>1</v>
      </c>
      <c r="B603" s="199" t="s">
        <v>233</v>
      </c>
      <c r="C603" s="211">
        <v>120000</v>
      </c>
      <c r="D603" s="212">
        <v>0.75</v>
      </c>
      <c r="E603" s="210">
        <f>+(A603*C603)+(A603*C603*D603)</f>
        <v>210000</v>
      </c>
      <c r="F603" s="221">
        <v>1</v>
      </c>
      <c r="G603" s="218">
        <f>ROUND(((E603)/(F603)),2)</f>
        <v>210000</v>
      </c>
      <c r="H603" s="370"/>
    </row>
    <row r="604" spans="1:8" ht="17.100000000000001" customHeight="1" x14ac:dyDescent="0.25">
      <c r="A604" s="199"/>
      <c r="B604" s="199"/>
      <c r="C604" s="199"/>
      <c r="D604" s="199"/>
      <c r="E604" s="207"/>
      <c r="F604" s="207"/>
      <c r="G604" s="207"/>
      <c r="H604" s="370"/>
    </row>
    <row r="605" spans="1:8" ht="17.100000000000001" customHeight="1" x14ac:dyDescent="0.25">
      <c r="A605" s="248"/>
      <c r="E605" s="208" t="s">
        <v>50</v>
      </c>
      <c r="F605" s="208"/>
      <c r="G605" s="208"/>
      <c r="H605" s="370">
        <f>SUM(G602)+(G603)</f>
        <v>455000</v>
      </c>
    </row>
    <row r="606" spans="1:8" ht="17.100000000000001" customHeight="1" x14ac:dyDescent="0.25">
      <c r="A606" s="206" t="s">
        <v>51</v>
      </c>
      <c r="B606" s="764" t="s">
        <v>18</v>
      </c>
      <c r="C606" s="765"/>
      <c r="D606" s="765"/>
      <c r="E606" s="765"/>
      <c r="F606" s="765"/>
      <c r="G606" s="766"/>
      <c r="H606" s="370"/>
    </row>
    <row r="607" spans="1:8" ht="17.100000000000001" customHeight="1" x14ac:dyDescent="0.25">
      <c r="A607" s="199"/>
      <c r="B607" s="199" t="s">
        <v>31</v>
      </c>
      <c r="C607" s="225" t="s">
        <v>12</v>
      </c>
      <c r="D607" s="225" t="s">
        <v>13</v>
      </c>
      <c r="E607" s="225" t="s">
        <v>52</v>
      </c>
      <c r="F607" s="225"/>
      <c r="G607" s="207" t="s">
        <v>53</v>
      </c>
      <c r="H607" s="370"/>
    </row>
    <row r="608" spans="1:8" ht="17.100000000000001" customHeight="1" x14ac:dyDescent="0.25">
      <c r="A608" s="199"/>
      <c r="B608" s="199"/>
      <c r="C608" s="214"/>
      <c r="D608" s="199"/>
      <c r="E608" s="207"/>
      <c r="F608" s="207"/>
      <c r="G608" s="207"/>
      <c r="H608" s="370"/>
    </row>
    <row r="609" spans="1:8" ht="17.100000000000001" customHeight="1" x14ac:dyDescent="0.25">
      <c r="A609" s="199"/>
      <c r="B609" s="199"/>
      <c r="C609" s="210"/>
      <c r="D609" s="199"/>
      <c r="E609" s="207"/>
      <c r="F609" s="207"/>
      <c r="G609" s="207"/>
      <c r="H609" s="370"/>
    </row>
    <row r="610" spans="1:8" ht="17.100000000000001" customHeight="1" x14ac:dyDescent="0.25">
      <c r="A610" s="199"/>
      <c r="B610" s="199"/>
      <c r="C610" s="199"/>
      <c r="D610" s="199"/>
      <c r="E610" s="207"/>
      <c r="F610" s="207"/>
      <c r="G610" s="207"/>
      <c r="H610" s="370"/>
    </row>
    <row r="611" spans="1:8" ht="17.100000000000001" customHeight="1" x14ac:dyDescent="0.25">
      <c r="A611" s="248"/>
      <c r="E611" s="208" t="s">
        <v>50</v>
      </c>
      <c r="F611" s="208"/>
      <c r="G611" s="208"/>
      <c r="H611" s="370">
        <f>ROUND(SUM(G608)+(G609),0)</f>
        <v>0</v>
      </c>
    </row>
    <row r="612" spans="1:8" ht="17.100000000000001" customHeight="1" x14ac:dyDescent="0.25">
      <c r="A612" s="247"/>
      <c r="E612" s="208"/>
      <c r="F612" s="208"/>
      <c r="G612" s="208"/>
      <c r="H612" s="370"/>
    </row>
    <row r="613" spans="1:8" ht="17.100000000000001" customHeight="1" x14ac:dyDescent="0.25">
      <c r="A613" s="247"/>
      <c r="D613" s="215" t="s">
        <v>54</v>
      </c>
      <c r="E613" s="216"/>
      <c r="F613" s="216"/>
      <c r="G613" s="216"/>
      <c r="H613" s="370">
        <f>ROUND((SUM(H589:H612)),2)</f>
        <v>1353271</v>
      </c>
    </row>
    <row r="614" spans="1:8" ht="17.100000000000001" customHeight="1" x14ac:dyDescent="0.25">
      <c r="A614" s="247"/>
      <c r="E614" s="208"/>
      <c r="F614" s="208"/>
      <c r="G614" s="208"/>
      <c r="H614" s="370"/>
    </row>
    <row r="615" spans="1:8" ht="17.100000000000001" customHeight="1" x14ac:dyDescent="0.25">
      <c r="A615" s="206" t="s">
        <v>55</v>
      </c>
      <c r="B615" s="764" t="s">
        <v>56</v>
      </c>
      <c r="C615" s="765"/>
      <c r="D615" s="765"/>
      <c r="E615" s="765"/>
      <c r="F615" s="765"/>
      <c r="G615" s="766"/>
      <c r="H615" s="370"/>
    </row>
    <row r="616" spans="1:8" ht="17.100000000000001" customHeight="1" x14ac:dyDescent="0.25">
      <c r="A616" s="225"/>
      <c r="B616" s="225" t="s">
        <v>31</v>
      </c>
      <c r="C616" s="225" t="s">
        <v>57</v>
      </c>
      <c r="D616" s="199" t="s">
        <v>58</v>
      </c>
      <c r="E616" s="207"/>
      <c r="F616" s="207" t="s">
        <v>59</v>
      </c>
      <c r="G616" s="207"/>
      <c r="H616" s="370"/>
    </row>
    <row r="617" spans="1:8" ht="17.100000000000001" customHeight="1" x14ac:dyDescent="0.25">
      <c r="A617" s="199"/>
      <c r="B617" s="225" t="s">
        <v>60</v>
      </c>
      <c r="C617" s="212">
        <v>0.28000000000000003</v>
      </c>
      <c r="D617" s="199"/>
      <c r="E617" s="210"/>
      <c r="F617" s="199"/>
      <c r="G617" s="218">
        <f>ROUND((H613*C617),2)</f>
        <v>378915.88</v>
      </c>
      <c r="H617" s="370"/>
    </row>
    <row r="618" spans="1:8" ht="17.100000000000001" customHeight="1" x14ac:dyDescent="0.25">
      <c r="A618" s="199"/>
      <c r="B618" s="225" t="s">
        <v>61</v>
      </c>
      <c r="C618" s="212">
        <v>0.01</v>
      </c>
      <c r="D618" s="199"/>
      <c r="E618" s="210"/>
      <c r="F618" s="199"/>
      <c r="G618" s="218">
        <f>ROUND((H613*C618),2)</f>
        <v>13532.71</v>
      </c>
      <c r="H618" s="370"/>
    </row>
    <row r="619" spans="1:8" ht="17.100000000000001" customHeight="1" x14ac:dyDescent="0.25">
      <c r="A619" s="199"/>
      <c r="B619" s="225" t="s">
        <v>62</v>
      </c>
      <c r="C619" s="212">
        <v>0.03</v>
      </c>
      <c r="D619" s="199"/>
      <c r="E619" s="210"/>
      <c r="F619" s="199"/>
      <c r="G619" s="218">
        <f>ROUND((H613*C619),2)</f>
        <v>40598.129999999997</v>
      </c>
      <c r="H619" s="370"/>
    </row>
    <row r="620" spans="1:8" ht="17.100000000000001" customHeight="1" x14ac:dyDescent="0.25">
      <c r="A620" s="247"/>
      <c r="D620" s="215" t="s">
        <v>63</v>
      </c>
      <c r="E620" s="216"/>
      <c r="F620" s="216"/>
      <c r="G620" s="216"/>
      <c r="H620" s="370">
        <f>SUM(G616:G619)</f>
        <v>433046.72000000003</v>
      </c>
    </row>
    <row r="621" spans="1:8" ht="17.100000000000001" customHeight="1" x14ac:dyDescent="0.25">
      <c r="A621" s="247"/>
      <c r="E621" s="208"/>
      <c r="F621" s="208"/>
      <c r="G621" s="208"/>
      <c r="H621" s="370"/>
    </row>
    <row r="622" spans="1:8" ht="17.100000000000001" customHeight="1" x14ac:dyDescent="0.25">
      <c r="A622" s="247"/>
      <c r="D622" s="215" t="s">
        <v>64</v>
      </c>
      <c r="E622" s="216"/>
      <c r="F622" s="216"/>
      <c r="G622" s="208"/>
      <c r="H622" s="370">
        <f>H613+H620</f>
        <v>1786317.72</v>
      </c>
    </row>
    <row r="623" spans="1:8" ht="17.100000000000001" customHeight="1" x14ac:dyDescent="0.25">
      <c r="A623" s="247"/>
      <c r="D623" s="215"/>
      <c r="E623" s="216"/>
      <c r="F623" s="216"/>
      <c r="G623" s="208"/>
      <c r="H623" s="370"/>
    </row>
    <row r="624" spans="1:8" ht="17.100000000000001" customHeight="1" x14ac:dyDescent="0.25">
      <c r="A624" s="247"/>
      <c r="E624" s="216"/>
      <c r="F624" s="216"/>
      <c r="G624" s="208"/>
      <c r="H624" s="370"/>
    </row>
    <row r="625" spans="1:8" ht="17.100000000000001" customHeight="1" x14ac:dyDescent="0.25">
      <c r="A625" s="205"/>
      <c r="B625" s="204"/>
      <c r="E625" s="219"/>
      <c r="F625" s="220"/>
      <c r="G625" s="203"/>
      <c r="H625" s="370"/>
    </row>
    <row r="626" spans="1:8" ht="17.100000000000001" customHeight="1" x14ac:dyDescent="0.25">
      <c r="A626" s="249" t="str">
        <f>+A571</f>
        <v>ING JHON ALEXANDER ARIAS</v>
      </c>
      <c r="B626" s="217"/>
      <c r="E626" s="223" t="str">
        <f>Presupuesto!D65</f>
        <v>ARQ. GUILLERMO YAMID VALLEJOS BENAVIDES</v>
      </c>
      <c r="F626" s="217"/>
      <c r="G626" s="217"/>
      <c r="H626" s="370"/>
    </row>
    <row r="627" spans="1:8" ht="17.100000000000001" customHeight="1" x14ac:dyDescent="0.25">
      <c r="A627" s="250" t="str">
        <f t="shared" ref="A627:A628" si="11">+A572</f>
        <v>APOYO PROFESIONAL SPOPM</v>
      </c>
      <c r="B627" s="217"/>
      <c r="E627" s="217" t="str">
        <f>Presupuesto!D66</f>
        <v>SECRETARIO DE PLANEACION Y OBRAS PUBLICAS</v>
      </c>
      <c r="F627" s="217"/>
      <c r="G627" s="217"/>
      <c r="H627" s="370"/>
    </row>
    <row r="628" spans="1:8" ht="17.100000000000001" customHeight="1" x14ac:dyDescent="0.25">
      <c r="A628" s="250" t="str">
        <f t="shared" si="11"/>
        <v>MP 111037-0703225 NRÑ</v>
      </c>
      <c r="B628" s="251"/>
      <c r="C628" s="204"/>
      <c r="D628" s="204"/>
      <c r="E628" s="251" t="str">
        <f>Presupuesto!D67</f>
        <v>SAN MIGUEL - PUTUMAYO</v>
      </c>
      <c r="F628" s="251"/>
      <c r="G628" s="251"/>
      <c r="H628" s="445"/>
    </row>
    <row r="630" spans="1:8" ht="17.100000000000001" customHeight="1" x14ac:dyDescent="0.3">
      <c r="A630" s="705"/>
      <c r="B630" s="706"/>
      <c r="C630" s="638" t="s">
        <v>224</v>
      </c>
      <c r="D630" s="625" t="s">
        <v>225</v>
      </c>
      <c r="E630" s="626"/>
      <c r="F630" s="275">
        <v>103</v>
      </c>
      <c r="G630" s="753"/>
      <c r="H630" s="754"/>
    </row>
    <row r="631" spans="1:8" ht="17.100000000000001" customHeight="1" x14ac:dyDescent="0.25">
      <c r="A631" s="707"/>
      <c r="B631" s="708"/>
      <c r="C631" s="639"/>
      <c r="D631" s="634" t="s">
        <v>195</v>
      </c>
      <c r="E631" s="635"/>
      <c r="F631" s="712">
        <v>51</v>
      </c>
      <c r="G631" s="755"/>
      <c r="H631" s="756"/>
    </row>
    <row r="632" spans="1:8" ht="17.100000000000001" customHeight="1" x14ac:dyDescent="0.25">
      <c r="A632" s="707"/>
      <c r="B632" s="708"/>
      <c r="C632" s="307" t="s">
        <v>196</v>
      </c>
      <c r="D632" s="636"/>
      <c r="E632" s="637"/>
      <c r="F632" s="713"/>
      <c r="G632" s="755"/>
      <c r="H632" s="756"/>
    </row>
    <row r="633" spans="1:8" ht="17.100000000000001" customHeight="1" x14ac:dyDescent="0.25">
      <c r="A633" s="707"/>
      <c r="B633" s="708"/>
      <c r="C633" s="308" t="s">
        <v>197</v>
      </c>
      <c r="D633" s="640" t="s">
        <v>198</v>
      </c>
      <c r="E633" s="641"/>
      <c r="F633" s="309">
        <v>1</v>
      </c>
      <c r="G633" s="755"/>
      <c r="H633" s="756"/>
    </row>
    <row r="634" spans="1:8" ht="27.6" customHeight="1" x14ac:dyDescent="0.25">
      <c r="A634" s="707"/>
      <c r="B634" s="708"/>
      <c r="C634" s="714" t="s">
        <v>199</v>
      </c>
      <c r="D634" s="716" t="s">
        <v>200</v>
      </c>
      <c r="E634" s="717"/>
      <c r="F634" s="307" t="s">
        <v>201</v>
      </c>
      <c r="G634" s="755"/>
      <c r="H634" s="756"/>
    </row>
    <row r="635" spans="1:8" ht="17.100000000000001" customHeight="1" x14ac:dyDescent="0.25">
      <c r="A635" s="709"/>
      <c r="B635" s="710"/>
      <c r="C635" s="715"/>
      <c r="D635" s="718"/>
      <c r="E635" s="719"/>
      <c r="F635" s="310">
        <v>44216</v>
      </c>
      <c r="G635" s="757"/>
      <c r="H635" s="758"/>
    </row>
    <row r="636" spans="1:8" ht="17.100000000000001" customHeight="1" x14ac:dyDescent="0.25">
      <c r="A636" s="759"/>
      <c r="B636" s="760"/>
      <c r="C636" s="760"/>
      <c r="D636" s="760"/>
      <c r="E636" s="760"/>
      <c r="F636" s="760"/>
      <c r="G636" s="760"/>
      <c r="H636" s="761"/>
    </row>
    <row r="637" spans="1:8" ht="24.75" customHeight="1" x14ac:dyDescent="0.25">
      <c r="A637" s="720" t="str">
        <f>Presupuesto!A8</f>
        <v>ADECUACION Y MEJORAMIENTO DE AULAS ESCOLARES UBICADA EN LA INSTITUCION EDUCATIVA TECNICO COMERCIAL LA DORADA SEDE ESCUELA CENTRAL DEL MUNICIPIO DE SAN MIGUEL PUTUMAYO</v>
      </c>
      <c r="B637" s="721"/>
      <c r="C637" s="721"/>
      <c r="D637" s="721"/>
      <c r="E637" s="721"/>
      <c r="F637" s="721"/>
      <c r="G637" s="721"/>
      <c r="H637" s="722"/>
    </row>
    <row r="638" spans="1:8" ht="18" customHeight="1" thickBot="1" x14ac:dyDescent="0.3">
      <c r="A638" s="720"/>
      <c r="B638" s="721"/>
      <c r="C638" s="721"/>
      <c r="D638" s="721"/>
      <c r="E638" s="721"/>
      <c r="F638" s="721"/>
      <c r="G638" s="721"/>
      <c r="H638" s="722"/>
    </row>
    <row r="639" spans="1:8" ht="17.100000000000001" customHeight="1" thickBot="1" x14ac:dyDescent="0.3">
      <c r="A639" s="351">
        <f>Presupuesto!A28</f>
        <v>2.5</v>
      </c>
      <c r="B639" s="732" t="str">
        <f>Presupuesto!B28</f>
        <v>CONCRETO VIGA AEREA</v>
      </c>
      <c r="C639" s="733"/>
      <c r="D639" s="733"/>
      <c r="E639" s="733"/>
      <c r="F639" s="734"/>
      <c r="G639" s="352" t="s">
        <v>28</v>
      </c>
      <c r="H639" s="444" t="str">
        <f>Presupuesto!D28</f>
        <v>M3</v>
      </c>
    </row>
    <row r="640" spans="1:8" ht="17.100000000000001" customHeight="1" x14ac:dyDescent="0.25">
      <c r="A640" s="247"/>
      <c r="H640" s="370"/>
    </row>
    <row r="641" spans="1:8" ht="17.100000000000001" customHeight="1" x14ac:dyDescent="0.25">
      <c r="A641" s="206" t="s">
        <v>29</v>
      </c>
      <c r="B641" s="764" t="s">
        <v>30</v>
      </c>
      <c r="C641" s="765"/>
      <c r="D641" s="765"/>
      <c r="E641" s="765"/>
      <c r="F641" s="765"/>
      <c r="G641" s="766"/>
      <c r="H641" s="370"/>
    </row>
    <row r="642" spans="1:8" ht="17.100000000000001" customHeight="1" x14ac:dyDescent="0.25">
      <c r="A642" s="225"/>
      <c r="B642" s="735" t="s">
        <v>31</v>
      </c>
      <c r="C642" s="736"/>
      <c r="D642" s="225" t="s">
        <v>32</v>
      </c>
      <c r="E642" s="225" t="s">
        <v>33</v>
      </c>
      <c r="F642" s="225" t="s">
        <v>34</v>
      </c>
      <c r="G642" s="225" t="s">
        <v>35</v>
      </c>
      <c r="H642" s="370"/>
    </row>
    <row r="643" spans="1:8" ht="17.100000000000001" customHeight="1" x14ac:dyDescent="0.25">
      <c r="A643" s="199"/>
      <c r="B643" s="735" t="s">
        <v>67</v>
      </c>
      <c r="C643" s="736"/>
      <c r="D643" s="199"/>
      <c r="E643" s="207"/>
      <c r="F643" s="207">
        <v>0.1</v>
      </c>
      <c r="G643" s="218">
        <f>ROUND((H660*F643),2)</f>
        <v>45500</v>
      </c>
      <c r="H643" s="370"/>
    </row>
    <row r="644" spans="1:8" ht="17.100000000000001" customHeight="1" x14ac:dyDescent="0.25">
      <c r="A644" s="199"/>
      <c r="B644" s="735"/>
      <c r="C644" s="736"/>
      <c r="D644" s="199"/>
      <c r="E644" s="207"/>
      <c r="F644" s="207"/>
      <c r="G644" s="207"/>
      <c r="H644" s="370"/>
    </row>
    <row r="645" spans="1:8" ht="17.100000000000001" customHeight="1" x14ac:dyDescent="0.25">
      <c r="A645" s="199"/>
      <c r="B645" s="735"/>
      <c r="C645" s="736"/>
      <c r="D645" s="199"/>
      <c r="E645" s="207"/>
      <c r="F645" s="207"/>
      <c r="G645" s="207"/>
      <c r="H645" s="370"/>
    </row>
    <row r="646" spans="1:8" ht="17.100000000000001" customHeight="1" x14ac:dyDescent="0.25">
      <c r="A646" s="248"/>
      <c r="E646" s="208" t="s">
        <v>36</v>
      </c>
      <c r="F646" s="208"/>
      <c r="G646" s="208"/>
      <c r="H646" s="370">
        <f>SUM(G643:G645)</f>
        <v>45500</v>
      </c>
    </row>
    <row r="647" spans="1:8" ht="17.100000000000001" customHeight="1" x14ac:dyDescent="0.25">
      <c r="A647" s="206" t="s">
        <v>37</v>
      </c>
      <c r="B647" s="764" t="s">
        <v>38</v>
      </c>
      <c r="C647" s="765"/>
      <c r="D647" s="765"/>
      <c r="E647" s="765"/>
      <c r="F647" s="765"/>
      <c r="G647" s="766"/>
      <c r="H647" s="370"/>
    </row>
    <row r="648" spans="1:8" ht="17.100000000000001" customHeight="1" x14ac:dyDescent="0.25">
      <c r="A648" s="225"/>
      <c r="B648" s="735" t="s">
        <v>31</v>
      </c>
      <c r="C648" s="736"/>
      <c r="D648" s="199" t="s">
        <v>12</v>
      </c>
      <c r="E648" s="209" t="s">
        <v>39</v>
      </c>
      <c r="F648" s="209" t="s">
        <v>40</v>
      </c>
      <c r="G648" s="209" t="s">
        <v>35</v>
      </c>
      <c r="H648" s="370"/>
    </row>
    <row r="649" spans="1:8" ht="17.100000000000001" customHeight="1" x14ac:dyDescent="0.25">
      <c r="A649" s="199"/>
      <c r="B649" s="741" t="s">
        <v>269</v>
      </c>
      <c r="C649" s="742"/>
      <c r="D649" s="417" t="s">
        <v>232</v>
      </c>
      <c r="E649" s="418">
        <v>1</v>
      </c>
      <c r="F649" s="419">
        <f>+'BASICOS URBANOS'!H45</f>
        <v>714616</v>
      </c>
      <c r="G649" s="207">
        <f>ROUND((E649*F649),2)</f>
        <v>714616</v>
      </c>
      <c r="H649" s="370"/>
    </row>
    <row r="650" spans="1:8" ht="17.100000000000001" customHeight="1" x14ac:dyDescent="0.25">
      <c r="A650" s="199"/>
      <c r="B650" s="737" t="s">
        <v>270</v>
      </c>
      <c r="C650" s="738"/>
      <c r="D650" s="225" t="s">
        <v>271</v>
      </c>
      <c r="E650" s="209">
        <v>0.21</v>
      </c>
      <c r="F650" s="420">
        <v>5500</v>
      </c>
      <c r="G650" s="207">
        <f>ROUND((E650*F650),2)</f>
        <v>1155</v>
      </c>
      <c r="H650" s="370"/>
    </row>
    <row r="651" spans="1:8" ht="17.100000000000001" customHeight="1" x14ac:dyDescent="0.25">
      <c r="A651" s="199"/>
      <c r="B651" s="737" t="s">
        <v>272</v>
      </c>
      <c r="C651" s="738"/>
      <c r="D651" s="231" t="s">
        <v>152</v>
      </c>
      <c r="E651" s="209">
        <v>3</v>
      </c>
      <c r="F651" s="421">
        <v>22000</v>
      </c>
      <c r="G651" s="207">
        <f>ROUND((E651*F651),2)</f>
        <v>66000</v>
      </c>
      <c r="H651" s="370"/>
    </row>
    <row r="652" spans="1:8" ht="17.100000000000001" customHeight="1" x14ac:dyDescent="0.25">
      <c r="A652" s="199"/>
      <c r="B652" s="737" t="s">
        <v>273</v>
      </c>
      <c r="C652" s="738"/>
      <c r="D652" s="231" t="s">
        <v>152</v>
      </c>
      <c r="E652" s="209">
        <v>5</v>
      </c>
      <c r="F652" s="421">
        <v>13500</v>
      </c>
      <c r="G652" s="207">
        <f>ROUND((E652*F652),2)</f>
        <v>67500</v>
      </c>
      <c r="H652" s="370"/>
    </row>
    <row r="653" spans="1:8" ht="17.100000000000001" customHeight="1" x14ac:dyDescent="0.25">
      <c r="A653" s="199"/>
      <c r="B653" s="737" t="s">
        <v>274</v>
      </c>
      <c r="C653" s="738"/>
      <c r="D653" s="422" t="s">
        <v>242</v>
      </c>
      <c r="E653" s="209">
        <v>0.5</v>
      </c>
      <c r="F653" s="421">
        <v>7000</v>
      </c>
      <c r="G653" s="207">
        <f>ROUND((E653*F653),2)</f>
        <v>3500</v>
      </c>
      <c r="H653" s="370"/>
    </row>
    <row r="654" spans="1:8" ht="17.100000000000001" customHeight="1" x14ac:dyDescent="0.25">
      <c r="A654" s="248" t="s">
        <v>41</v>
      </c>
      <c r="E654" s="208" t="s">
        <v>42</v>
      </c>
      <c r="F654" s="208"/>
      <c r="G654" s="208"/>
      <c r="H654" s="370">
        <f>(SUM(G649:G653))</f>
        <v>852771</v>
      </c>
    </row>
    <row r="655" spans="1:8" ht="17.100000000000001" customHeight="1" x14ac:dyDescent="0.25">
      <c r="A655" s="206" t="s">
        <v>43</v>
      </c>
      <c r="B655" s="764" t="s">
        <v>44</v>
      </c>
      <c r="C655" s="765"/>
      <c r="D655" s="765"/>
      <c r="E655" s="765"/>
      <c r="F655" s="765"/>
      <c r="G655" s="766"/>
      <c r="H655" s="370"/>
    </row>
    <row r="656" spans="1:8" ht="17.100000000000001" customHeight="1" x14ac:dyDescent="0.25">
      <c r="A656" s="199" t="s">
        <v>45</v>
      </c>
      <c r="B656" s="225" t="s">
        <v>31</v>
      </c>
      <c r="C656" s="225" t="s">
        <v>46</v>
      </c>
      <c r="D656" s="225" t="s">
        <v>47</v>
      </c>
      <c r="E656" s="209" t="s">
        <v>48</v>
      </c>
      <c r="F656" s="207" t="s">
        <v>34</v>
      </c>
      <c r="G656" s="207" t="s">
        <v>35</v>
      </c>
      <c r="H656" s="370"/>
    </row>
    <row r="657" spans="1:8" ht="17.100000000000001" customHeight="1" x14ac:dyDescent="0.25">
      <c r="A657" s="199">
        <v>2</v>
      </c>
      <c r="B657" s="199" t="s">
        <v>189</v>
      </c>
      <c r="C657" s="211">
        <v>70000</v>
      </c>
      <c r="D657" s="212">
        <v>0.75</v>
      </c>
      <c r="E657" s="210">
        <f>+(A657*C657)+(A657*C657*D657)</f>
        <v>245000</v>
      </c>
      <c r="F657" s="221">
        <v>1</v>
      </c>
      <c r="G657" s="218">
        <f>ROUND(((E657)/(F657)),2)</f>
        <v>245000</v>
      </c>
      <c r="H657" s="370"/>
    </row>
    <row r="658" spans="1:8" ht="17.100000000000001" customHeight="1" x14ac:dyDescent="0.25">
      <c r="A658" s="199">
        <v>1</v>
      </c>
      <c r="B658" s="199" t="s">
        <v>233</v>
      </c>
      <c r="C658" s="211">
        <v>120000</v>
      </c>
      <c r="D658" s="212">
        <v>0.75</v>
      </c>
      <c r="E658" s="210">
        <f>+(A658*C658)+(A658*C658*D658)</f>
        <v>210000</v>
      </c>
      <c r="F658" s="221">
        <v>1</v>
      </c>
      <c r="G658" s="218">
        <f>ROUND(((E658)/(F658)),2)</f>
        <v>210000</v>
      </c>
      <c r="H658" s="370"/>
    </row>
    <row r="659" spans="1:8" ht="17.100000000000001" customHeight="1" x14ac:dyDescent="0.25">
      <c r="A659" s="199"/>
      <c r="B659" s="199"/>
      <c r="C659" s="199"/>
      <c r="D659" s="199"/>
      <c r="E659" s="207"/>
      <c r="F659" s="207"/>
      <c r="G659" s="207"/>
      <c r="H659" s="370"/>
    </row>
    <row r="660" spans="1:8" ht="17.100000000000001" customHeight="1" x14ac:dyDescent="0.25">
      <c r="A660" s="248"/>
      <c r="E660" s="208" t="s">
        <v>50</v>
      </c>
      <c r="F660" s="208"/>
      <c r="G660" s="208"/>
      <c r="H660" s="370">
        <f>SUM(G657)+(G658)</f>
        <v>455000</v>
      </c>
    </row>
    <row r="661" spans="1:8" ht="17.100000000000001" customHeight="1" x14ac:dyDescent="0.25">
      <c r="A661" s="206" t="s">
        <v>51</v>
      </c>
      <c r="B661" s="764" t="s">
        <v>18</v>
      </c>
      <c r="C661" s="765"/>
      <c r="D661" s="765"/>
      <c r="E661" s="765"/>
      <c r="F661" s="765"/>
      <c r="G661" s="766"/>
      <c r="H661" s="370"/>
    </row>
    <row r="662" spans="1:8" ht="17.100000000000001" customHeight="1" x14ac:dyDescent="0.25">
      <c r="A662" s="199"/>
      <c r="B662" s="199" t="s">
        <v>31</v>
      </c>
      <c r="C662" s="225" t="s">
        <v>12</v>
      </c>
      <c r="D662" s="225" t="s">
        <v>13</v>
      </c>
      <c r="E662" s="225" t="s">
        <v>52</v>
      </c>
      <c r="F662" s="225"/>
      <c r="G662" s="207" t="s">
        <v>53</v>
      </c>
      <c r="H662" s="370"/>
    </row>
    <row r="663" spans="1:8" ht="17.100000000000001" customHeight="1" x14ac:dyDescent="0.25">
      <c r="A663" s="199"/>
      <c r="B663" s="199"/>
      <c r="C663" s="214"/>
      <c r="D663" s="199"/>
      <c r="E663" s="207"/>
      <c r="F663" s="207"/>
      <c r="G663" s="207"/>
      <c r="H663" s="370"/>
    </row>
    <row r="664" spans="1:8" ht="17.100000000000001" customHeight="1" x14ac:dyDescent="0.25">
      <c r="A664" s="199"/>
      <c r="B664" s="199"/>
      <c r="C664" s="210"/>
      <c r="D664" s="199"/>
      <c r="E664" s="207"/>
      <c r="F664" s="207"/>
      <c r="G664" s="207"/>
      <c r="H664" s="370"/>
    </row>
    <row r="665" spans="1:8" ht="17.100000000000001" customHeight="1" x14ac:dyDescent="0.25">
      <c r="A665" s="199"/>
      <c r="B665" s="199"/>
      <c r="C665" s="199"/>
      <c r="D665" s="199"/>
      <c r="E665" s="207"/>
      <c r="F665" s="207"/>
      <c r="G665" s="207"/>
      <c r="H665" s="370"/>
    </row>
    <row r="666" spans="1:8" ht="17.100000000000001" customHeight="1" x14ac:dyDescent="0.25">
      <c r="A666" s="248"/>
      <c r="E666" s="208" t="s">
        <v>50</v>
      </c>
      <c r="F666" s="208"/>
      <c r="G666" s="208"/>
      <c r="H666" s="370">
        <f>ROUND(SUM(G663)+(G664),0)</f>
        <v>0</v>
      </c>
    </row>
    <row r="667" spans="1:8" ht="17.100000000000001" customHeight="1" x14ac:dyDescent="0.25">
      <c r="A667" s="247"/>
      <c r="E667" s="208"/>
      <c r="F667" s="208"/>
      <c r="G667" s="208"/>
      <c r="H667" s="370"/>
    </row>
    <row r="668" spans="1:8" ht="17.100000000000001" customHeight="1" x14ac:dyDescent="0.25">
      <c r="A668" s="247"/>
      <c r="D668" s="215" t="s">
        <v>54</v>
      </c>
      <c r="E668" s="216"/>
      <c r="F668" s="216"/>
      <c r="G668" s="216"/>
      <c r="H668" s="370">
        <f>ROUND((SUM(H644:H667)),2)</f>
        <v>1353271</v>
      </c>
    </row>
    <row r="669" spans="1:8" ht="17.100000000000001" customHeight="1" x14ac:dyDescent="0.25">
      <c r="A669" s="247"/>
      <c r="E669" s="208"/>
      <c r="F669" s="208"/>
      <c r="G669" s="208"/>
      <c r="H669" s="370"/>
    </row>
    <row r="670" spans="1:8" ht="17.100000000000001" customHeight="1" x14ac:dyDescent="0.25">
      <c r="A670" s="206" t="s">
        <v>55</v>
      </c>
      <c r="B670" s="764" t="s">
        <v>56</v>
      </c>
      <c r="C670" s="765"/>
      <c r="D670" s="765"/>
      <c r="E670" s="765"/>
      <c r="F670" s="765"/>
      <c r="G670" s="766"/>
      <c r="H670" s="370"/>
    </row>
    <row r="671" spans="1:8" ht="17.100000000000001" customHeight="1" x14ac:dyDescent="0.25">
      <c r="A671" s="225"/>
      <c r="B671" s="225" t="s">
        <v>31</v>
      </c>
      <c r="C671" s="225" t="s">
        <v>57</v>
      </c>
      <c r="D671" s="199" t="s">
        <v>58</v>
      </c>
      <c r="E671" s="207"/>
      <c r="F671" s="207" t="s">
        <v>59</v>
      </c>
      <c r="G671" s="207"/>
      <c r="H671" s="370"/>
    </row>
    <row r="672" spans="1:8" ht="17.100000000000001" customHeight="1" x14ac:dyDescent="0.25">
      <c r="A672" s="199"/>
      <c r="B672" s="225" t="s">
        <v>60</v>
      </c>
      <c r="C672" s="212">
        <v>0.28000000000000003</v>
      </c>
      <c r="D672" s="199"/>
      <c r="E672" s="210"/>
      <c r="F672" s="199"/>
      <c r="G672" s="218">
        <f>ROUND((H668*C672),2)</f>
        <v>378915.88</v>
      </c>
      <c r="H672" s="370"/>
    </row>
    <row r="673" spans="1:8" ht="17.100000000000001" customHeight="1" x14ac:dyDescent="0.25">
      <c r="A673" s="199"/>
      <c r="B673" s="225" t="s">
        <v>61</v>
      </c>
      <c r="C673" s="212">
        <v>0.01</v>
      </c>
      <c r="D673" s="199"/>
      <c r="E673" s="210"/>
      <c r="F673" s="199"/>
      <c r="G673" s="218">
        <f>ROUND((H668*C673),2)</f>
        <v>13532.71</v>
      </c>
      <c r="H673" s="370"/>
    </row>
    <row r="674" spans="1:8" ht="17.100000000000001" customHeight="1" x14ac:dyDescent="0.25">
      <c r="A674" s="199"/>
      <c r="B674" s="225" t="s">
        <v>62</v>
      </c>
      <c r="C674" s="212">
        <v>0.03</v>
      </c>
      <c r="D674" s="199"/>
      <c r="E674" s="210"/>
      <c r="F674" s="199"/>
      <c r="G674" s="218">
        <f>ROUND((H668*C674),2)</f>
        <v>40598.129999999997</v>
      </c>
      <c r="H674" s="370"/>
    </row>
    <row r="675" spans="1:8" ht="17.100000000000001" customHeight="1" x14ac:dyDescent="0.25">
      <c r="A675" s="247"/>
      <c r="D675" s="215" t="s">
        <v>63</v>
      </c>
      <c r="E675" s="216"/>
      <c r="F675" s="216"/>
      <c r="G675" s="216"/>
      <c r="H675" s="370">
        <f>SUM(G671:G674)</f>
        <v>433046.72000000003</v>
      </c>
    </row>
    <row r="676" spans="1:8" ht="17.100000000000001" customHeight="1" x14ac:dyDescent="0.25">
      <c r="A676" s="247"/>
      <c r="E676" s="208"/>
      <c r="F676" s="208"/>
      <c r="G676" s="208"/>
      <c r="H676" s="370"/>
    </row>
    <row r="677" spans="1:8" ht="17.100000000000001" customHeight="1" x14ac:dyDescent="0.25">
      <c r="A677" s="247"/>
      <c r="D677" s="215" t="s">
        <v>64</v>
      </c>
      <c r="E677" s="216"/>
      <c r="F677" s="216"/>
      <c r="G677" s="208"/>
      <c r="H677" s="370">
        <f>H668+H675</f>
        <v>1786317.72</v>
      </c>
    </row>
    <row r="678" spans="1:8" ht="17.100000000000001" customHeight="1" x14ac:dyDescent="0.25">
      <c r="A678" s="247"/>
      <c r="D678" s="215"/>
      <c r="E678" s="216"/>
      <c r="F678" s="216"/>
      <c r="G678" s="208"/>
      <c r="H678" s="370"/>
    </row>
    <row r="679" spans="1:8" ht="17.100000000000001" customHeight="1" x14ac:dyDescent="0.25">
      <c r="A679" s="247"/>
      <c r="E679" s="216"/>
      <c r="F679" s="216"/>
      <c r="G679" s="208"/>
      <c r="H679" s="370"/>
    </row>
    <row r="680" spans="1:8" ht="17.100000000000001" customHeight="1" x14ac:dyDescent="0.25">
      <c r="A680" s="205"/>
      <c r="B680" s="204"/>
      <c r="E680" s="219"/>
      <c r="F680" s="220"/>
      <c r="G680" s="203"/>
      <c r="H680" s="370"/>
    </row>
    <row r="681" spans="1:8" ht="17.100000000000001" customHeight="1" x14ac:dyDescent="0.25">
      <c r="A681" s="249" t="str">
        <f>+A626</f>
        <v>ING JHON ALEXANDER ARIAS</v>
      </c>
      <c r="B681" s="217"/>
      <c r="E681" s="223" t="str">
        <f>Presupuesto!D65</f>
        <v>ARQ. GUILLERMO YAMID VALLEJOS BENAVIDES</v>
      </c>
      <c r="F681" s="217"/>
      <c r="G681" s="217"/>
      <c r="H681" s="370"/>
    </row>
    <row r="682" spans="1:8" ht="17.100000000000001" customHeight="1" x14ac:dyDescent="0.25">
      <c r="A682" s="250" t="str">
        <f t="shared" ref="A682:A683" si="12">+A627</f>
        <v>APOYO PROFESIONAL SPOPM</v>
      </c>
      <c r="B682" s="217"/>
      <c r="E682" s="217" t="str">
        <f>Presupuesto!D66</f>
        <v>SECRETARIO DE PLANEACION Y OBRAS PUBLICAS</v>
      </c>
      <c r="F682" s="217"/>
      <c r="G682" s="217"/>
      <c r="H682" s="370"/>
    </row>
    <row r="683" spans="1:8" ht="17.100000000000001" customHeight="1" x14ac:dyDescent="0.25">
      <c r="A683" s="250" t="str">
        <f t="shared" si="12"/>
        <v>MP 111037-0703225 NRÑ</v>
      </c>
      <c r="B683" s="580"/>
      <c r="C683" s="579"/>
      <c r="D683" s="579"/>
      <c r="E683" s="580" t="str">
        <f>Presupuesto!D67</f>
        <v>SAN MIGUEL - PUTUMAYO</v>
      </c>
      <c r="F683" s="580"/>
      <c r="G683" s="580"/>
      <c r="H683" s="516"/>
    </row>
    <row r="685" spans="1:8" ht="17.100000000000001" customHeight="1" x14ac:dyDescent="0.3">
      <c r="A685" s="705"/>
      <c r="B685" s="706"/>
      <c r="C685" s="638" t="s">
        <v>224</v>
      </c>
      <c r="D685" s="625" t="s">
        <v>225</v>
      </c>
      <c r="E685" s="626"/>
      <c r="F685" s="275">
        <v>103</v>
      </c>
      <c r="G685" s="753"/>
      <c r="H685" s="754"/>
    </row>
    <row r="686" spans="1:8" ht="17.100000000000001" customHeight="1" x14ac:dyDescent="0.25">
      <c r="A686" s="707"/>
      <c r="B686" s="708"/>
      <c r="C686" s="639"/>
      <c r="D686" s="634" t="s">
        <v>195</v>
      </c>
      <c r="E686" s="635"/>
      <c r="F686" s="712">
        <v>51</v>
      </c>
      <c r="G686" s="755"/>
      <c r="H686" s="756"/>
    </row>
    <row r="687" spans="1:8" ht="17.100000000000001" customHeight="1" x14ac:dyDescent="0.25">
      <c r="A687" s="707"/>
      <c r="B687" s="708"/>
      <c r="C687" s="307" t="s">
        <v>196</v>
      </c>
      <c r="D687" s="636"/>
      <c r="E687" s="637"/>
      <c r="F687" s="713"/>
      <c r="G687" s="755"/>
      <c r="H687" s="756"/>
    </row>
    <row r="688" spans="1:8" ht="17.100000000000001" customHeight="1" x14ac:dyDescent="0.25">
      <c r="A688" s="707"/>
      <c r="B688" s="708"/>
      <c r="C688" s="308" t="s">
        <v>197</v>
      </c>
      <c r="D688" s="640" t="s">
        <v>198</v>
      </c>
      <c r="E688" s="641"/>
      <c r="F688" s="309">
        <v>1</v>
      </c>
      <c r="G688" s="755"/>
      <c r="H688" s="756"/>
    </row>
    <row r="689" spans="1:8" ht="24.6" customHeight="1" x14ac:dyDescent="0.25">
      <c r="A689" s="707"/>
      <c r="B689" s="708"/>
      <c r="C689" s="714" t="s">
        <v>199</v>
      </c>
      <c r="D689" s="716" t="s">
        <v>200</v>
      </c>
      <c r="E689" s="717"/>
      <c r="F689" s="307" t="s">
        <v>201</v>
      </c>
      <c r="G689" s="755"/>
      <c r="H689" s="756"/>
    </row>
    <row r="690" spans="1:8" ht="24" customHeight="1" x14ac:dyDescent="0.25">
      <c r="A690" s="709"/>
      <c r="B690" s="710"/>
      <c r="C690" s="715"/>
      <c r="D690" s="718"/>
      <c r="E690" s="719"/>
      <c r="F690" s="310">
        <v>44216</v>
      </c>
      <c r="G690" s="757"/>
      <c r="H690" s="758"/>
    </row>
    <row r="691" spans="1:8" ht="17.100000000000001" customHeight="1" x14ac:dyDescent="0.25">
      <c r="A691" s="759"/>
      <c r="B691" s="760"/>
      <c r="C691" s="760"/>
      <c r="D691" s="760"/>
      <c r="E691" s="760"/>
      <c r="F691" s="760"/>
      <c r="G691" s="760"/>
      <c r="H691" s="761"/>
    </row>
    <row r="692" spans="1:8" ht="24.75" customHeight="1" x14ac:dyDescent="0.25">
      <c r="A692" s="720" t="str">
        <f>A637</f>
        <v>ADECUACION Y MEJORAMIENTO DE AULAS ESCOLARES UBICADA EN LA INSTITUCION EDUCATIVA TECNICO COMERCIAL LA DORADA SEDE ESCUELA CENTRAL DEL MUNICIPIO DE SAN MIGUEL PUTUMAYO</v>
      </c>
      <c r="B692" s="721"/>
      <c r="C692" s="721"/>
      <c r="D692" s="721"/>
      <c r="E692" s="721"/>
      <c r="F692" s="721"/>
      <c r="G692" s="721"/>
      <c r="H692" s="722"/>
    </row>
    <row r="693" spans="1:8" ht="43.5" customHeight="1" thickBot="1" x14ac:dyDescent="0.3">
      <c r="A693" s="720"/>
      <c r="B693" s="721"/>
      <c r="C693" s="721"/>
      <c r="D693" s="721"/>
      <c r="E693" s="721"/>
      <c r="F693" s="721"/>
      <c r="G693" s="721"/>
      <c r="H693" s="722"/>
    </row>
    <row r="694" spans="1:8" ht="17.100000000000001" customHeight="1" thickBot="1" x14ac:dyDescent="0.3">
      <c r="A694" s="351">
        <f>Presupuesto!A29</f>
        <v>2.6</v>
      </c>
      <c r="B694" s="732" t="str">
        <f>Presupuesto!B29</f>
        <v>ACERO DE REFUERZO FY=420MPA, INCLUYE FIGURADO, AMARRE E INSTALACIÓN</v>
      </c>
      <c r="C694" s="733"/>
      <c r="D694" s="733"/>
      <c r="E694" s="733"/>
      <c r="F694" s="734"/>
      <c r="G694" s="352" t="s">
        <v>28</v>
      </c>
      <c r="H694" s="444" t="str">
        <f>Presupuesto!D29</f>
        <v>KG</v>
      </c>
    </row>
    <row r="695" spans="1:8" ht="17.100000000000001" customHeight="1" x14ac:dyDescent="0.25">
      <c r="A695" s="247"/>
      <c r="H695" s="370"/>
    </row>
    <row r="696" spans="1:8" ht="17.100000000000001" customHeight="1" x14ac:dyDescent="0.25">
      <c r="A696" s="206" t="s">
        <v>29</v>
      </c>
      <c r="B696" s="764" t="s">
        <v>30</v>
      </c>
      <c r="C696" s="765"/>
      <c r="D696" s="765"/>
      <c r="E696" s="765"/>
      <c r="F696" s="765"/>
      <c r="G696" s="766"/>
      <c r="H696" s="370"/>
    </row>
    <row r="697" spans="1:8" ht="17.100000000000001" customHeight="1" x14ac:dyDescent="0.25">
      <c r="A697" s="225"/>
      <c r="B697" s="735" t="s">
        <v>31</v>
      </c>
      <c r="C697" s="736"/>
      <c r="D697" s="225" t="s">
        <v>32</v>
      </c>
      <c r="E697" s="225" t="s">
        <v>33</v>
      </c>
      <c r="F697" s="225" t="s">
        <v>34</v>
      </c>
      <c r="G697" s="225" t="s">
        <v>35</v>
      </c>
      <c r="H697" s="370"/>
    </row>
    <row r="698" spans="1:8" ht="17.100000000000001" customHeight="1" x14ac:dyDescent="0.25">
      <c r="A698" s="199"/>
      <c r="B698" s="737" t="s">
        <v>67</v>
      </c>
      <c r="C698" s="738"/>
      <c r="D698" s="199"/>
      <c r="E698" s="207"/>
      <c r="F698" s="425">
        <v>0.1</v>
      </c>
      <c r="G698" s="218">
        <f>ROUND((H715*F698),2)</f>
        <v>379.17</v>
      </c>
      <c r="H698" s="370"/>
    </row>
    <row r="699" spans="1:8" ht="17.100000000000001" customHeight="1" x14ac:dyDescent="0.25">
      <c r="A699" s="199"/>
      <c r="B699" s="737" t="s">
        <v>395</v>
      </c>
      <c r="C699" s="738"/>
      <c r="D699" s="199" t="s">
        <v>277</v>
      </c>
      <c r="E699" s="207">
        <v>1900</v>
      </c>
      <c r="F699" s="425">
        <v>7.1400000000000005E-2</v>
      </c>
      <c r="G699" s="207">
        <f>ROUND((E699*F699),2)</f>
        <v>135.66</v>
      </c>
      <c r="H699" s="370"/>
    </row>
    <row r="700" spans="1:8" ht="17.100000000000001" customHeight="1" x14ac:dyDescent="0.25">
      <c r="A700" s="199"/>
      <c r="B700" s="735"/>
      <c r="C700" s="736"/>
      <c r="D700" s="199"/>
      <c r="E700" s="207"/>
      <c r="F700" s="207"/>
      <c r="G700" s="207"/>
      <c r="H700" s="370"/>
    </row>
    <row r="701" spans="1:8" ht="17.100000000000001" customHeight="1" x14ac:dyDescent="0.25">
      <c r="A701" s="248"/>
      <c r="E701" s="208" t="s">
        <v>36</v>
      </c>
      <c r="F701" s="208"/>
      <c r="G701" s="208"/>
      <c r="H701" s="370">
        <f>SUM(G698:G700)</f>
        <v>514.83000000000004</v>
      </c>
    </row>
    <row r="702" spans="1:8" ht="17.100000000000001" customHeight="1" x14ac:dyDescent="0.25">
      <c r="A702" s="206" t="s">
        <v>37</v>
      </c>
      <c r="B702" s="764" t="s">
        <v>38</v>
      </c>
      <c r="C702" s="765"/>
      <c r="D702" s="765"/>
      <c r="E702" s="765"/>
      <c r="F702" s="765"/>
      <c r="G702" s="766"/>
      <c r="H702" s="370"/>
    </row>
    <row r="703" spans="1:8" ht="17.100000000000001" customHeight="1" x14ac:dyDescent="0.25">
      <c r="A703" s="225"/>
      <c r="B703" s="735" t="s">
        <v>31</v>
      </c>
      <c r="C703" s="736"/>
      <c r="D703" s="199" t="s">
        <v>12</v>
      </c>
      <c r="E703" s="209" t="s">
        <v>39</v>
      </c>
      <c r="F703" s="209" t="s">
        <v>40</v>
      </c>
      <c r="G703" s="209" t="s">
        <v>35</v>
      </c>
      <c r="H703" s="370"/>
    </row>
    <row r="704" spans="1:8" ht="17.100000000000001" customHeight="1" x14ac:dyDescent="0.25">
      <c r="A704" s="199"/>
      <c r="B704" s="770" t="s">
        <v>275</v>
      </c>
      <c r="C704" s="771"/>
      <c r="D704" s="365" t="s">
        <v>242</v>
      </c>
      <c r="E704" s="366">
        <v>1</v>
      </c>
      <c r="F704" s="424">
        <v>9640</v>
      </c>
      <c r="G704" s="207">
        <f>ROUND((E704*F704),2)</f>
        <v>9640</v>
      </c>
      <c r="H704" s="370"/>
    </row>
    <row r="705" spans="1:8" ht="17.100000000000001" customHeight="1" x14ac:dyDescent="0.25">
      <c r="A705" s="199"/>
      <c r="B705" s="770" t="s">
        <v>276</v>
      </c>
      <c r="C705" s="771"/>
      <c r="D705" s="365" t="s">
        <v>242</v>
      </c>
      <c r="E705" s="365">
        <v>0.03</v>
      </c>
      <c r="F705" s="424">
        <v>7000</v>
      </c>
      <c r="G705" s="207">
        <f>ROUND((E705*F705),2)</f>
        <v>210</v>
      </c>
      <c r="H705" s="370"/>
    </row>
    <row r="706" spans="1:8" ht="17.100000000000001" customHeight="1" x14ac:dyDescent="0.25">
      <c r="A706" s="199"/>
      <c r="B706" s="739"/>
      <c r="C706" s="740"/>
      <c r="D706" s="365"/>
      <c r="E706" s="367"/>
      <c r="F706" s="368"/>
      <c r="G706" s="207"/>
      <c r="H706" s="370"/>
    </row>
    <row r="707" spans="1:8" ht="17.100000000000001" customHeight="1" x14ac:dyDescent="0.25">
      <c r="A707" s="199"/>
      <c r="B707" s="739"/>
      <c r="C707" s="740"/>
      <c r="D707" s="366"/>
      <c r="E707" s="367"/>
      <c r="F707" s="368"/>
      <c r="G707" s="207"/>
      <c r="H707" s="370"/>
    </row>
    <row r="708" spans="1:8" ht="17.100000000000001" customHeight="1" x14ac:dyDescent="0.25">
      <c r="A708" s="199"/>
      <c r="B708" s="746"/>
      <c r="C708" s="747"/>
      <c r="D708" s="199"/>
      <c r="E708" s="207"/>
      <c r="F708" s="207"/>
      <c r="G708" s="207"/>
      <c r="H708" s="370"/>
    </row>
    <row r="709" spans="1:8" ht="17.100000000000001" customHeight="1" x14ac:dyDescent="0.25">
      <c r="A709" s="248" t="s">
        <v>41</v>
      </c>
      <c r="E709" s="208" t="s">
        <v>42</v>
      </c>
      <c r="F709" s="208"/>
      <c r="G709" s="208"/>
      <c r="H709" s="370">
        <f>(SUM(G704:G707))</f>
        <v>9850</v>
      </c>
    </row>
    <row r="710" spans="1:8" ht="17.100000000000001" customHeight="1" x14ac:dyDescent="0.25">
      <c r="A710" s="206" t="s">
        <v>43</v>
      </c>
      <c r="B710" s="764" t="s">
        <v>44</v>
      </c>
      <c r="C710" s="765"/>
      <c r="D710" s="765"/>
      <c r="E710" s="765"/>
      <c r="F710" s="765"/>
      <c r="G710" s="766"/>
      <c r="H710" s="370"/>
    </row>
    <row r="711" spans="1:8" ht="17.100000000000001" customHeight="1" x14ac:dyDescent="0.25">
      <c r="A711" s="199" t="s">
        <v>45</v>
      </c>
      <c r="B711" s="225" t="s">
        <v>31</v>
      </c>
      <c r="C711" s="225" t="s">
        <v>46</v>
      </c>
      <c r="D711" s="225" t="s">
        <v>47</v>
      </c>
      <c r="E711" s="209" t="s">
        <v>48</v>
      </c>
      <c r="F711" s="207" t="s">
        <v>34</v>
      </c>
      <c r="G711" s="207" t="s">
        <v>35</v>
      </c>
      <c r="H711" s="370"/>
    </row>
    <row r="712" spans="1:8" ht="17.100000000000001" customHeight="1" x14ac:dyDescent="0.25">
      <c r="A712" s="199">
        <v>2</v>
      </c>
      <c r="B712" s="199" t="s">
        <v>189</v>
      </c>
      <c r="C712" s="211">
        <v>70000</v>
      </c>
      <c r="D712" s="212">
        <v>0.75</v>
      </c>
      <c r="E712" s="210">
        <f>+(A712*C712)+(A712*C712*D712)</f>
        <v>245000</v>
      </c>
      <c r="F712" s="213">
        <v>120</v>
      </c>
      <c r="G712" s="218">
        <f>ROUND(((E712)/(F712)),2)</f>
        <v>2041.67</v>
      </c>
      <c r="H712" s="370"/>
    </row>
    <row r="713" spans="1:8" ht="17.100000000000001" customHeight="1" x14ac:dyDescent="0.25">
      <c r="A713" s="199">
        <v>1</v>
      </c>
      <c r="B713" s="199" t="s">
        <v>233</v>
      </c>
      <c r="C713" s="211">
        <v>120000</v>
      </c>
      <c r="D713" s="212">
        <v>0.75</v>
      </c>
      <c r="E713" s="210">
        <f>+(A713*C713)+(A713*C713*D713)</f>
        <v>210000</v>
      </c>
      <c r="F713" s="213">
        <v>120</v>
      </c>
      <c r="G713" s="218">
        <f>ROUND(((E713)/(F713)),2)</f>
        <v>1750</v>
      </c>
      <c r="H713" s="370"/>
    </row>
    <row r="714" spans="1:8" ht="17.100000000000001" customHeight="1" x14ac:dyDescent="0.25">
      <c r="A714" s="199"/>
      <c r="B714" s="199"/>
      <c r="C714" s="199"/>
      <c r="D714" s="199"/>
      <c r="E714" s="207"/>
      <c r="F714" s="207"/>
      <c r="G714" s="207"/>
      <c r="H714" s="370"/>
    </row>
    <row r="715" spans="1:8" ht="17.100000000000001" customHeight="1" x14ac:dyDescent="0.25">
      <c r="A715" s="248"/>
      <c r="E715" s="208" t="s">
        <v>50</v>
      </c>
      <c r="F715" s="208"/>
      <c r="G715" s="208"/>
      <c r="H715" s="370">
        <f>SUM(G712)+(G713)</f>
        <v>3791.67</v>
      </c>
    </row>
    <row r="716" spans="1:8" ht="17.100000000000001" customHeight="1" x14ac:dyDescent="0.25">
      <c r="A716" s="206" t="s">
        <v>51</v>
      </c>
      <c r="B716" s="764" t="s">
        <v>18</v>
      </c>
      <c r="C716" s="765"/>
      <c r="D716" s="765"/>
      <c r="E716" s="765"/>
      <c r="F716" s="765"/>
      <c r="G716" s="766"/>
      <c r="H716" s="370"/>
    </row>
    <row r="717" spans="1:8" ht="17.100000000000001" customHeight="1" x14ac:dyDescent="0.25">
      <c r="A717" s="199"/>
      <c r="B717" s="199" t="s">
        <v>31</v>
      </c>
      <c r="C717" s="225" t="s">
        <v>12</v>
      </c>
      <c r="D717" s="225" t="s">
        <v>13</v>
      </c>
      <c r="E717" s="225" t="s">
        <v>52</v>
      </c>
      <c r="F717" s="225"/>
      <c r="G717" s="207" t="s">
        <v>53</v>
      </c>
      <c r="H717" s="370"/>
    </row>
    <row r="718" spans="1:8" ht="17.100000000000001" customHeight="1" x14ac:dyDescent="0.25">
      <c r="A718" s="199"/>
      <c r="B718" s="199"/>
      <c r="C718" s="214"/>
      <c r="D718" s="199"/>
      <c r="E718" s="207"/>
      <c r="F718" s="207"/>
      <c r="G718" s="207"/>
      <c r="H718" s="370"/>
    </row>
    <row r="719" spans="1:8" ht="17.100000000000001" customHeight="1" x14ac:dyDescent="0.25">
      <c r="A719" s="199"/>
      <c r="B719" s="199"/>
      <c r="C719" s="210"/>
      <c r="D719" s="199"/>
      <c r="E719" s="207"/>
      <c r="F719" s="207"/>
      <c r="G719" s="207"/>
      <c r="H719" s="370"/>
    </row>
    <row r="720" spans="1:8" ht="17.100000000000001" customHeight="1" x14ac:dyDescent="0.25">
      <c r="A720" s="199"/>
      <c r="B720" s="199"/>
      <c r="C720" s="199"/>
      <c r="D720" s="199"/>
      <c r="E720" s="207"/>
      <c r="F720" s="207"/>
      <c r="G720" s="207"/>
      <c r="H720" s="370"/>
    </row>
    <row r="721" spans="1:8" ht="17.100000000000001" customHeight="1" x14ac:dyDescent="0.25">
      <c r="A721" s="248"/>
      <c r="E721" s="208" t="s">
        <v>50</v>
      </c>
      <c r="F721" s="208"/>
      <c r="G721" s="208"/>
      <c r="H721" s="370">
        <f>ROUND(SUM(G718)+(G719),0)</f>
        <v>0</v>
      </c>
    </row>
    <row r="722" spans="1:8" ht="17.100000000000001" customHeight="1" x14ac:dyDescent="0.25">
      <c r="A722" s="247"/>
      <c r="E722" s="208"/>
      <c r="F722" s="208"/>
      <c r="G722" s="208"/>
      <c r="H722" s="370"/>
    </row>
    <row r="723" spans="1:8" ht="17.100000000000001" customHeight="1" x14ac:dyDescent="0.25">
      <c r="A723" s="247"/>
      <c r="D723" s="215" t="s">
        <v>54</v>
      </c>
      <c r="E723" s="216"/>
      <c r="F723" s="216"/>
      <c r="G723" s="216"/>
      <c r="H723" s="370">
        <f>ROUND((SUM(H701:H722)),2)</f>
        <v>14156.5</v>
      </c>
    </row>
    <row r="724" spans="1:8" ht="17.100000000000001" customHeight="1" x14ac:dyDescent="0.25">
      <c r="A724" s="247"/>
      <c r="E724" s="208"/>
      <c r="F724" s="208"/>
      <c r="G724" s="208"/>
      <c r="H724" s="370"/>
    </row>
    <row r="725" spans="1:8" ht="17.100000000000001" customHeight="1" x14ac:dyDescent="0.25">
      <c r="A725" s="206" t="s">
        <v>55</v>
      </c>
      <c r="B725" s="764" t="s">
        <v>56</v>
      </c>
      <c r="C725" s="765"/>
      <c r="D725" s="765"/>
      <c r="E725" s="765"/>
      <c r="F725" s="765"/>
      <c r="G725" s="766"/>
      <c r="H725" s="370"/>
    </row>
    <row r="726" spans="1:8" ht="17.100000000000001" customHeight="1" x14ac:dyDescent="0.25">
      <c r="A726" s="225"/>
      <c r="B726" s="225" t="s">
        <v>31</v>
      </c>
      <c r="C726" s="225" t="s">
        <v>57</v>
      </c>
      <c r="D726" s="199" t="s">
        <v>58</v>
      </c>
      <c r="E726" s="207"/>
      <c r="F726" s="207" t="s">
        <v>59</v>
      </c>
      <c r="G726" s="207"/>
      <c r="H726" s="370"/>
    </row>
    <row r="727" spans="1:8" ht="17.100000000000001" customHeight="1" x14ac:dyDescent="0.25">
      <c r="A727" s="199"/>
      <c r="B727" s="225" t="s">
        <v>60</v>
      </c>
      <c r="C727" s="212">
        <v>0.28000000000000003</v>
      </c>
      <c r="D727" s="199"/>
      <c r="E727" s="210"/>
      <c r="F727" s="199"/>
      <c r="G727" s="218">
        <f>ROUND((H723*C727),2)</f>
        <v>3963.82</v>
      </c>
      <c r="H727" s="370"/>
    </row>
    <row r="728" spans="1:8" ht="17.100000000000001" customHeight="1" x14ac:dyDescent="0.25">
      <c r="A728" s="199"/>
      <c r="B728" s="225" t="s">
        <v>61</v>
      </c>
      <c r="C728" s="212">
        <v>0.01</v>
      </c>
      <c r="D728" s="199"/>
      <c r="E728" s="210"/>
      <c r="F728" s="199"/>
      <c r="G728" s="218">
        <f>ROUND((H723*C728),2)</f>
        <v>141.57</v>
      </c>
      <c r="H728" s="370"/>
    </row>
    <row r="729" spans="1:8" ht="17.100000000000001" customHeight="1" x14ac:dyDescent="0.25">
      <c r="A729" s="199"/>
      <c r="B729" s="225" t="s">
        <v>62</v>
      </c>
      <c r="C729" s="212">
        <v>0.03</v>
      </c>
      <c r="D729" s="199"/>
      <c r="E729" s="210"/>
      <c r="F729" s="199"/>
      <c r="G729" s="218">
        <f>ROUND((H723*C729),2)</f>
        <v>424.7</v>
      </c>
      <c r="H729" s="370"/>
    </row>
    <row r="730" spans="1:8" ht="17.100000000000001" customHeight="1" x14ac:dyDescent="0.25">
      <c r="A730" s="247"/>
      <c r="D730" s="215" t="s">
        <v>63</v>
      </c>
      <c r="E730" s="216"/>
      <c r="F730" s="216"/>
      <c r="G730" s="216"/>
      <c r="H730" s="370">
        <f>SUM(G726:G729)</f>
        <v>4530.09</v>
      </c>
    </row>
    <row r="731" spans="1:8" ht="17.100000000000001" customHeight="1" x14ac:dyDescent="0.25">
      <c r="A731" s="247"/>
      <c r="E731" s="208"/>
      <c r="F731" s="208"/>
      <c r="G731" s="208"/>
      <c r="H731" s="370"/>
    </row>
    <row r="732" spans="1:8" ht="17.100000000000001" customHeight="1" x14ac:dyDescent="0.25">
      <c r="A732" s="247"/>
      <c r="D732" s="215" t="s">
        <v>64</v>
      </c>
      <c r="E732" s="216"/>
      <c r="F732" s="216"/>
      <c r="G732" s="208"/>
      <c r="H732" s="370">
        <f>H723+H730</f>
        <v>18686.59</v>
      </c>
    </row>
    <row r="733" spans="1:8" ht="17.100000000000001" customHeight="1" x14ac:dyDescent="0.25">
      <c r="A733" s="247"/>
      <c r="D733" s="215"/>
      <c r="E733" s="216"/>
      <c r="F733" s="216"/>
      <c r="G733" s="208"/>
      <c r="H733" s="370"/>
    </row>
    <row r="734" spans="1:8" ht="17.100000000000001" customHeight="1" x14ac:dyDescent="0.25">
      <c r="A734" s="247"/>
      <c r="E734" s="216"/>
      <c r="F734" s="216"/>
      <c r="G734" s="208"/>
      <c r="H734" s="370"/>
    </row>
    <row r="735" spans="1:8" ht="17.100000000000001" customHeight="1" x14ac:dyDescent="0.25">
      <c r="A735" s="205"/>
      <c r="B735" s="204"/>
      <c r="E735" s="219"/>
      <c r="F735" s="220"/>
      <c r="G735" s="203"/>
      <c r="H735" s="370"/>
    </row>
    <row r="736" spans="1:8" ht="17.100000000000001" customHeight="1" x14ac:dyDescent="0.25">
      <c r="A736" s="249" t="str">
        <f>+A681</f>
        <v>ING JHON ALEXANDER ARIAS</v>
      </c>
      <c r="B736" s="217"/>
      <c r="E736" s="223" t="str">
        <f>Presupuesto!D65</f>
        <v>ARQ. GUILLERMO YAMID VALLEJOS BENAVIDES</v>
      </c>
      <c r="F736" s="217"/>
      <c r="G736" s="217"/>
      <c r="H736" s="370"/>
    </row>
    <row r="737" spans="1:8" ht="17.100000000000001" customHeight="1" x14ac:dyDescent="0.25">
      <c r="A737" s="250" t="str">
        <f t="shared" ref="A737:A738" si="13">+A682</f>
        <v>APOYO PROFESIONAL SPOPM</v>
      </c>
      <c r="B737" s="217"/>
      <c r="E737" s="223" t="str">
        <f>Presupuesto!D66</f>
        <v>SECRETARIO DE PLANEACION Y OBRAS PUBLICAS</v>
      </c>
      <c r="F737" s="217"/>
      <c r="G737" s="217"/>
      <c r="H737" s="370"/>
    </row>
    <row r="738" spans="1:8" ht="17.100000000000001" customHeight="1" x14ac:dyDescent="0.25">
      <c r="A738" s="250" t="str">
        <f t="shared" si="13"/>
        <v>MP 111037-0703225 NRÑ</v>
      </c>
      <c r="B738" s="580"/>
      <c r="C738" s="579"/>
      <c r="D738" s="579"/>
      <c r="E738" s="582" t="str">
        <f>Presupuesto!D67</f>
        <v>SAN MIGUEL - PUTUMAYO</v>
      </c>
      <c r="F738" s="580"/>
      <c r="G738" s="580"/>
      <c r="H738" s="516"/>
    </row>
    <row r="739" spans="1:8" ht="17.100000000000001" customHeight="1" x14ac:dyDescent="0.25">
      <c r="A739" s="250"/>
      <c r="B739" s="217"/>
      <c r="D739" s="579"/>
      <c r="E739" s="581"/>
      <c r="F739" s="581"/>
      <c r="G739" s="581"/>
      <c r="H739" s="516"/>
    </row>
    <row r="741" spans="1:8" ht="17.100000000000001" customHeight="1" x14ac:dyDescent="0.3">
      <c r="A741" s="705"/>
      <c r="B741" s="706"/>
      <c r="C741" s="638" t="s">
        <v>224</v>
      </c>
      <c r="D741" s="625" t="s">
        <v>225</v>
      </c>
      <c r="E741" s="626"/>
      <c r="F741" s="275">
        <v>103</v>
      </c>
      <c r="G741" s="753"/>
      <c r="H741" s="754"/>
    </row>
    <row r="742" spans="1:8" ht="17.100000000000001" customHeight="1" x14ac:dyDescent="0.25">
      <c r="A742" s="707"/>
      <c r="B742" s="708"/>
      <c r="C742" s="639"/>
      <c r="D742" s="634" t="s">
        <v>195</v>
      </c>
      <c r="E742" s="635"/>
      <c r="F742" s="712">
        <v>51</v>
      </c>
      <c r="G742" s="755"/>
      <c r="H742" s="756"/>
    </row>
    <row r="743" spans="1:8" ht="17.100000000000001" customHeight="1" x14ac:dyDescent="0.25">
      <c r="A743" s="707"/>
      <c r="B743" s="708"/>
      <c r="C743" s="307" t="s">
        <v>196</v>
      </c>
      <c r="D743" s="636"/>
      <c r="E743" s="637"/>
      <c r="F743" s="713"/>
      <c r="G743" s="755"/>
      <c r="H743" s="756"/>
    </row>
    <row r="744" spans="1:8" ht="17.100000000000001" customHeight="1" x14ac:dyDescent="0.25">
      <c r="A744" s="707"/>
      <c r="B744" s="708"/>
      <c r="C744" s="308" t="s">
        <v>197</v>
      </c>
      <c r="D744" s="640" t="s">
        <v>198</v>
      </c>
      <c r="E744" s="641"/>
      <c r="F744" s="309">
        <v>1</v>
      </c>
      <c r="G744" s="755"/>
      <c r="H744" s="756"/>
    </row>
    <row r="745" spans="1:8" ht="27.6" customHeight="1" x14ac:dyDescent="0.25">
      <c r="A745" s="707"/>
      <c r="B745" s="708"/>
      <c r="C745" s="714" t="s">
        <v>199</v>
      </c>
      <c r="D745" s="716" t="s">
        <v>200</v>
      </c>
      <c r="E745" s="717"/>
      <c r="F745" s="307" t="s">
        <v>201</v>
      </c>
      <c r="G745" s="755"/>
      <c r="H745" s="756"/>
    </row>
    <row r="746" spans="1:8" ht="17.100000000000001" customHeight="1" x14ac:dyDescent="0.25">
      <c r="A746" s="709"/>
      <c r="B746" s="710"/>
      <c r="C746" s="715"/>
      <c r="D746" s="718"/>
      <c r="E746" s="719"/>
      <c r="F746" s="310">
        <v>44216</v>
      </c>
      <c r="G746" s="757"/>
      <c r="H746" s="758"/>
    </row>
    <row r="747" spans="1:8" ht="17.100000000000001" customHeight="1" x14ac:dyDescent="0.25">
      <c r="A747" s="759"/>
      <c r="B747" s="760"/>
      <c r="C747" s="760"/>
      <c r="D747" s="760"/>
      <c r="E747" s="760"/>
      <c r="F747" s="760"/>
      <c r="G747" s="760"/>
      <c r="H747" s="761"/>
    </row>
    <row r="748" spans="1:8" ht="24.75" customHeight="1" x14ac:dyDescent="0.25">
      <c r="A748" s="720" t="str">
        <f>A692</f>
        <v>ADECUACION Y MEJORAMIENTO DE AULAS ESCOLARES UBICADA EN LA INSTITUCION EDUCATIVA TECNICO COMERCIAL LA DORADA SEDE ESCUELA CENTRAL DEL MUNICIPIO DE SAN MIGUEL PUTUMAYO</v>
      </c>
      <c r="B748" s="721"/>
      <c r="C748" s="721"/>
      <c r="D748" s="721"/>
      <c r="E748" s="721"/>
      <c r="F748" s="721"/>
      <c r="G748" s="721"/>
      <c r="H748" s="722"/>
    </row>
    <row r="749" spans="1:8" ht="43.5" customHeight="1" thickBot="1" x14ac:dyDescent="0.3">
      <c r="A749" s="720"/>
      <c r="B749" s="721"/>
      <c r="C749" s="721"/>
      <c r="D749" s="721"/>
      <c r="E749" s="721"/>
      <c r="F749" s="721"/>
      <c r="G749" s="721"/>
      <c r="H749" s="722"/>
    </row>
    <row r="750" spans="1:8" ht="17.100000000000001" customHeight="1" thickBot="1" x14ac:dyDescent="0.3">
      <c r="A750" s="351">
        <f>Presupuesto!A30</f>
        <v>2.7</v>
      </c>
      <c r="B750" s="732" t="str">
        <f>Presupuesto!B30</f>
        <v>CONCRETO COLUMNAS. 21MPA (3000 PSI)</v>
      </c>
      <c r="C750" s="733"/>
      <c r="D750" s="733"/>
      <c r="E750" s="733"/>
      <c r="F750" s="734"/>
      <c r="G750" s="352" t="s">
        <v>28</v>
      </c>
      <c r="H750" s="444" t="str">
        <f>Presupuesto!D30</f>
        <v>M3</v>
      </c>
    </row>
    <row r="751" spans="1:8" ht="17.100000000000001" customHeight="1" x14ac:dyDescent="0.25">
      <c r="A751" s="247"/>
      <c r="H751" s="370"/>
    </row>
    <row r="752" spans="1:8" ht="17.100000000000001" customHeight="1" x14ac:dyDescent="0.25">
      <c r="A752" s="206" t="s">
        <v>29</v>
      </c>
      <c r="B752" s="764" t="s">
        <v>30</v>
      </c>
      <c r="C752" s="765"/>
      <c r="D752" s="765"/>
      <c r="E752" s="765"/>
      <c r="F752" s="765"/>
      <c r="G752" s="766"/>
      <c r="H752" s="370"/>
    </row>
    <row r="753" spans="1:8" ht="17.100000000000001" customHeight="1" x14ac:dyDescent="0.25">
      <c r="A753" s="225"/>
      <c r="B753" s="735" t="s">
        <v>31</v>
      </c>
      <c r="C753" s="736"/>
      <c r="D753" s="225" t="s">
        <v>32</v>
      </c>
      <c r="E753" s="225" t="s">
        <v>33</v>
      </c>
      <c r="F753" s="225" t="s">
        <v>34</v>
      </c>
      <c r="G753" s="225" t="s">
        <v>35</v>
      </c>
      <c r="H753" s="370"/>
    </row>
    <row r="754" spans="1:8" ht="17.100000000000001" customHeight="1" x14ac:dyDescent="0.25">
      <c r="A754" s="199"/>
      <c r="B754" s="735" t="s">
        <v>67</v>
      </c>
      <c r="C754" s="736"/>
      <c r="D754" s="199"/>
      <c r="E754" s="207"/>
      <c r="F754" s="207">
        <v>0.1</v>
      </c>
      <c r="G754" s="218">
        <f>ROUND((H774*F754),2)</f>
        <v>57750</v>
      </c>
      <c r="H754" s="370"/>
    </row>
    <row r="755" spans="1:8" ht="17.100000000000001" customHeight="1" x14ac:dyDescent="0.25">
      <c r="A755" s="199"/>
      <c r="B755" s="735" t="s">
        <v>281</v>
      </c>
      <c r="C755" s="736"/>
      <c r="D755" s="199" t="s">
        <v>277</v>
      </c>
      <c r="E755" s="207">
        <v>5200</v>
      </c>
      <c r="F755" s="207">
        <v>2</v>
      </c>
      <c r="G755" s="207">
        <f>ROUND((E755*F755),2)</f>
        <v>10400</v>
      </c>
      <c r="H755" s="370"/>
    </row>
    <row r="756" spans="1:8" ht="17.100000000000001" customHeight="1" x14ac:dyDescent="0.25">
      <c r="A756" s="199"/>
      <c r="B756" s="735"/>
      <c r="C756" s="736"/>
      <c r="D756" s="199"/>
      <c r="E756" s="207"/>
      <c r="F756" s="207"/>
      <c r="G756" s="207"/>
      <c r="H756" s="370"/>
    </row>
    <row r="757" spans="1:8" ht="17.100000000000001" customHeight="1" x14ac:dyDescent="0.25">
      <c r="A757" s="248"/>
      <c r="E757" s="208" t="s">
        <v>36</v>
      </c>
      <c r="F757" s="208"/>
      <c r="G757" s="208"/>
      <c r="H757" s="370">
        <f>SUM(G754:G756)</f>
        <v>68150</v>
      </c>
    </row>
    <row r="758" spans="1:8" ht="17.100000000000001" customHeight="1" x14ac:dyDescent="0.25">
      <c r="A758" s="206" t="s">
        <v>37</v>
      </c>
      <c r="B758" s="764" t="s">
        <v>38</v>
      </c>
      <c r="C758" s="765"/>
      <c r="D758" s="765"/>
      <c r="E758" s="765"/>
      <c r="F758" s="765"/>
      <c r="G758" s="766"/>
      <c r="H758" s="370"/>
    </row>
    <row r="759" spans="1:8" ht="17.100000000000001" customHeight="1" x14ac:dyDescent="0.25">
      <c r="A759" s="225"/>
      <c r="B759" s="735" t="s">
        <v>31</v>
      </c>
      <c r="C759" s="736"/>
      <c r="D759" s="199" t="s">
        <v>12</v>
      </c>
      <c r="E759" s="209" t="s">
        <v>39</v>
      </c>
      <c r="F759" s="209" t="s">
        <v>40</v>
      </c>
      <c r="G759" s="209" t="s">
        <v>35</v>
      </c>
      <c r="H759" s="370"/>
    </row>
    <row r="760" spans="1:8" ht="17.100000000000001" customHeight="1" x14ac:dyDescent="0.25">
      <c r="A760" s="199"/>
      <c r="B760" s="769" t="s">
        <v>269</v>
      </c>
      <c r="C760" s="769"/>
      <c r="D760" s="365" t="s">
        <v>232</v>
      </c>
      <c r="E760" s="209">
        <v>1.05</v>
      </c>
      <c r="F760" s="368">
        <f>+'BASICOS URBANOS'!H45</f>
        <v>714616</v>
      </c>
      <c r="G760" s="207">
        <f>ROUND((E760*F760),2)</f>
        <v>750346.8</v>
      </c>
      <c r="H760" s="370"/>
    </row>
    <row r="761" spans="1:8" ht="17.100000000000001" customHeight="1" x14ac:dyDescent="0.25">
      <c r="A761" s="199"/>
      <c r="B761" s="769" t="s">
        <v>278</v>
      </c>
      <c r="C761" s="769"/>
      <c r="D761" s="365" t="s">
        <v>279</v>
      </c>
      <c r="E761" s="209">
        <v>0.7</v>
      </c>
      <c r="F761" s="368">
        <v>12000</v>
      </c>
      <c r="G761" s="207">
        <f t="shared" ref="G761:G766" si="14">ROUND((E761*F761),2)</f>
        <v>8400</v>
      </c>
      <c r="H761" s="370"/>
    </row>
    <row r="762" spans="1:8" ht="17.100000000000001" customHeight="1" x14ac:dyDescent="0.25">
      <c r="A762" s="199"/>
      <c r="B762" s="769" t="s">
        <v>280</v>
      </c>
      <c r="C762" s="769"/>
      <c r="D762" s="365" t="s">
        <v>279</v>
      </c>
      <c r="E762" s="209">
        <v>0.15</v>
      </c>
      <c r="F762" s="368">
        <v>21300</v>
      </c>
      <c r="G762" s="207">
        <f t="shared" si="14"/>
        <v>3195</v>
      </c>
      <c r="H762" s="370"/>
    </row>
    <row r="763" spans="1:8" ht="17.100000000000001" customHeight="1" x14ac:dyDescent="0.25">
      <c r="A763" s="199"/>
      <c r="B763" s="769" t="s">
        <v>272</v>
      </c>
      <c r="C763" s="769"/>
      <c r="D763" s="417" t="s">
        <v>152</v>
      </c>
      <c r="E763" s="418">
        <v>9</v>
      </c>
      <c r="F763" s="368">
        <v>22000</v>
      </c>
      <c r="G763" s="207">
        <f t="shared" si="14"/>
        <v>198000</v>
      </c>
      <c r="H763" s="370"/>
    </row>
    <row r="764" spans="1:8" ht="17.100000000000001" customHeight="1" x14ac:dyDescent="0.25">
      <c r="A764" s="199"/>
      <c r="B764" s="769" t="s">
        <v>273</v>
      </c>
      <c r="C764" s="769"/>
      <c r="D764" s="417" t="s">
        <v>152</v>
      </c>
      <c r="E764" s="418">
        <v>4</v>
      </c>
      <c r="F764" s="368">
        <v>13500</v>
      </c>
      <c r="G764" s="207">
        <f t="shared" si="14"/>
        <v>54000</v>
      </c>
      <c r="H764" s="370"/>
    </row>
    <row r="765" spans="1:8" ht="17.100000000000001" customHeight="1" x14ac:dyDescent="0.25">
      <c r="A765" s="199"/>
      <c r="B765" s="770" t="s">
        <v>276</v>
      </c>
      <c r="C765" s="771"/>
      <c r="D765" s="365" t="s">
        <v>242</v>
      </c>
      <c r="E765" s="365">
        <v>1.5</v>
      </c>
      <c r="F765" s="368">
        <v>7000</v>
      </c>
      <c r="G765" s="207">
        <f t="shared" si="14"/>
        <v>10500</v>
      </c>
      <c r="H765" s="370"/>
    </row>
    <row r="766" spans="1:8" ht="17.100000000000001" customHeight="1" x14ac:dyDescent="0.25">
      <c r="A766" s="199"/>
      <c r="B766" s="737" t="s">
        <v>270</v>
      </c>
      <c r="C766" s="738"/>
      <c r="D766" s="225" t="s">
        <v>271</v>
      </c>
      <c r="E766" s="209">
        <v>3</v>
      </c>
      <c r="F766" s="207">
        <v>5500</v>
      </c>
      <c r="G766" s="207">
        <f t="shared" si="14"/>
        <v>16500</v>
      </c>
      <c r="H766" s="370"/>
    </row>
    <row r="767" spans="1:8" ht="17.100000000000001" customHeight="1" x14ac:dyDescent="0.25">
      <c r="A767" s="199"/>
      <c r="B767" s="746"/>
      <c r="C767" s="747"/>
      <c r="D767" s="199"/>
      <c r="E767" s="207"/>
      <c r="F767" s="207"/>
      <c r="G767" s="207"/>
      <c r="H767" s="370"/>
    </row>
    <row r="768" spans="1:8" ht="17.100000000000001" customHeight="1" x14ac:dyDescent="0.25">
      <c r="A768" s="248" t="s">
        <v>41</v>
      </c>
      <c r="E768" s="208" t="s">
        <v>42</v>
      </c>
      <c r="F768" s="208"/>
      <c r="G768" s="208"/>
      <c r="H768" s="370">
        <f>(SUM(G760:G766))</f>
        <v>1040941.8</v>
      </c>
    </row>
    <row r="769" spans="1:8" ht="17.100000000000001" customHeight="1" x14ac:dyDescent="0.25">
      <c r="A769" s="206" t="s">
        <v>43</v>
      </c>
      <c r="B769" s="764" t="s">
        <v>44</v>
      </c>
      <c r="C769" s="765"/>
      <c r="D769" s="765"/>
      <c r="E769" s="765"/>
      <c r="F769" s="765"/>
      <c r="G769" s="766"/>
      <c r="H769" s="370"/>
    </row>
    <row r="770" spans="1:8" ht="17.100000000000001" customHeight="1" x14ac:dyDescent="0.25">
      <c r="A770" s="199" t="s">
        <v>45</v>
      </c>
      <c r="B770" s="225" t="s">
        <v>31</v>
      </c>
      <c r="C770" s="225" t="s">
        <v>46</v>
      </c>
      <c r="D770" s="225" t="s">
        <v>47</v>
      </c>
      <c r="E770" s="209" t="s">
        <v>48</v>
      </c>
      <c r="F770" s="207" t="s">
        <v>34</v>
      </c>
      <c r="G770" s="207" t="s">
        <v>35</v>
      </c>
      <c r="H770" s="370"/>
    </row>
    <row r="771" spans="1:8" ht="17.100000000000001" customHeight="1" x14ac:dyDescent="0.25">
      <c r="A771" s="199">
        <v>3</v>
      </c>
      <c r="B771" s="199" t="s">
        <v>189</v>
      </c>
      <c r="C771" s="211">
        <v>70000</v>
      </c>
      <c r="D771" s="212">
        <v>0.75</v>
      </c>
      <c r="E771" s="210">
        <f>+(A771*C771)+(A771*C771*D771)</f>
        <v>367500</v>
      </c>
      <c r="F771" s="423">
        <v>1</v>
      </c>
      <c r="G771" s="218">
        <f>ROUND(((E771)/(F771)),2)</f>
        <v>367500</v>
      </c>
      <c r="H771" s="370"/>
    </row>
    <row r="772" spans="1:8" ht="17.100000000000001" customHeight="1" x14ac:dyDescent="0.25">
      <c r="A772" s="199">
        <v>1</v>
      </c>
      <c r="B772" s="199" t="s">
        <v>233</v>
      </c>
      <c r="C772" s="211">
        <v>120000</v>
      </c>
      <c r="D772" s="212">
        <v>0.75</v>
      </c>
      <c r="E772" s="210">
        <f>+(A772*C772)+(A772*C772*D772)</f>
        <v>210000</v>
      </c>
      <c r="F772" s="423">
        <v>1</v>
      </c>
      <c r="G772" s="218">
        <f>ROUND(((E772)/(F772)),2)</f>
        <v>210000</v>
      </c>
      <c r="H772" s="370"/>
    </row>
    <row r="773" spans="1:8" ht="17.100000000000001" customHeight="1" x14ac:dyDescent="0.25">
      <c r="A773" s="199"/>
      <c r="B773" s="199"/>
      <c r="C773" s="199"/>
      <c r="D773" s="199"/>
      <c r="E773" s="207"/>
      <c r="F773" s="207"/>
      <c r="G773" s="207"/>
      <c r="H773" s="370"/>
    </row>
    <row r="774" spans="1:8" ht="17.100000000000001" customHeight="1" x14ac:dyDescent="0.25">
      <c r="A774" s="248"/>
      <c r="E774" s="208" t="s">
        <v>50</v>
      </c>
      <c r="F774" s="208"/>
      <c r="G774" s="208"/>
      <c r="H774" s="370">
        <f>SUM(G771)+(G772)</f>
        <v>577500</v>
      </c>
    </row>
    <row r="775" spans="1:8" ht="17.100000000000001" customHeight="1" x14ac:dyDescent="0.25">
      <c r="A775" s="206" t="s">
        <v>51</v>
      </c>
      <c r="B775" s="764" t="s">
        <v>18</v>
      </c>
      <c r="C775" s="765"/>
      <c r="D775" s="765"/>
      <c r="E775" s="765"/>
      <c r="F775" s="765"/>
      <c r="G775" s="766"/>
      <c r="H775" s="370"/>
    </row>
    <row r="776" spans="1:8" ht="17.100000000000001" customHeight="1" x14ac:dyDescent="0.25">
      <c r="A776" s="199"/>
      <c r="B776" s="199" t="s">
        <v>31</v>
      </c>
      <c r="C776" s="225" t="s">
        <v>12</v>
      </c>
      <c r="D776" s="225" t="s">
        <v>13</v>
      </c>
      <c r="E776" s="225" t="s">
        <v>52</v>
      </c>
      <c r="F776" s="225"/>
      <c r="G776" s="207" t="s">
        <v>53</v>
      </c>
      <c r="H776" s="370"/>
    </row>
    <row r="777" spans="1:8" ht="17.100000000000001" customHeight="1" x14ac:dyDescent="0.25">
      <c r="A777" s="199"/>
      <c r="B777" s="199"/>
      <c r="C777" s="214"/>
      <c r="D777" s="199"/>
      <c r="E777" s="207"/>
      <c r="F777" s="207"/>
      <c r="G777" s="207"/>
      <c r="H777" s="370"/>
    </row>
    <row r="778" spans="1:8" ht="17.100000000000001" customHeight="1" x14ac:dyDescent="0.25">
      <c r="A778" s="199"/>
      <c r="B778" s="199"/>
      <c r="C778" s="210"/>
      <c r="D778" s="199"/>
      <c r="E778" s="207"/>
      <c r="F778" s="207"/>
      <c r="G778" s="207"/>
      <c r="H778" s="370"/>
    </row>
    <row r="779" spans="1:8" ht="17.100000000000001" customHeight="1" x14ac:dyDescent="0.25">
      <c r="A779" s="199"/>
      <c r="B779" s="199"/>
      <c r="C779" s="199"/>
      <c r="D779" s="199"/>
      <c r="E779" s="207"/>
      <c r="F779" s="207"/>
      <c r="G779" s="207"/>
      <c r="H779" s="370"/>
    </row>
    <row r="780" spans="1:8" ht="17.100000000000001" customHeight="1" x14ac:dyDescent="0.25">
      <c r="A780" s="248"/>
      <c r="E780" s="208" t="s">
        <v>50</v>
      </c>
      <c r="F780" s="208"/>
      <c r="G780" s="208"/>
      <c r="H780" s="370">
        <f>ROUND(SUM(G777)+(G778),0)</f>
        <v>0</v>
      </c>
    </row>
    <row r="781" spans="1:8" ht="17.100000000000001" customHeight="1" x14ac:dyDescent="0.25">
      <c r="A781" s="247"/>
      <c r="E781" s="208"/>
      <c r="F781" s="208"/>
      <c r="G781" s="208"/>
      <c r="H781" s="370"/>
    </row>
    <row r="782" spans="1:8" ht="17.100000000000001" customHeight="1" x14ac:dyDescent="0.25">
      <c r="A782" s="247"/>
      <c r="D782" s="215" t="s">
        <v>54</v>
      </c>
      <c r="E782" s="216"/>
      <c r="F782" s="216"/>
      <c r="G782" s="216"/>
      <c r="H782" s="370">
        <f>ROUND((SUM(H757:H781)),2)</f>
        <v>1686591.8</v>
      </c>
    </row>
    <row r="783" spans="1:8" ht="17.100000000000001" customHeight="1" x14ac:dyDescent="0.25">
      <c r="A783" s="247"/>
      <c r="E783" s="208"/>
      <c r="F783" s="208"/>
      <c r="G783" s="208"/>
      <c r="H783" s="370"/>
    </row>
    <row r="784" spans="1:8" ht="17.100000000000001" customHeight="1" x14ac:dyDescent="0.25">
      <c r="A784" s="206" t="s">
        <v>55</v>
      </c>
      <c r="B784" s="764" t="s">
        <v>56</v>
      </c>
      <c r="C784" s="765"/>
      <c r="D784" s="765"/>
      <c r="E784" s="765"/>
      <c r="F784" s="765"/>
      <c r="G784" s="766"/>
      <c r="H784" s="370"/>
    </row>
    <row r="785" spans="1:8" ht="17.100000000000001" customHeight="1" x14ac:dyDescent="0.25">
      <c r="A785" s="225"/>
      <c r="B785" s="225" t="s">
        <v>31</v>
      </c>
      <c r="C785" s="225" t="s">
        <v>57</v>
      </c>
      <c r="D785" s="199" t="s">
        <v>58</v>
      </c>
      <c r="E785" s="207"/>
      <c r="F785" s="207" t="s">
        <v>59</v>
      </c>
      <c r="G785" s="207"/>
      <c r="H785" s="370"/>
    </row>
    <row r="786" spans="1:8" ht="17.100000000000001" customHeight="1" x14ac:dyDescent="0.25">
      <c r="A786" s="199"/>
      <c r="B786" s="225" t="s">
        <v>60</v>
      </c>
      <c r="C786" s="212">
        <v>0.28000000000000003</v>
      </c>
      <c r="D786" s="199"/>
      <c r="E786" s="210"/>
      <c r="F786" s="199"/>
      <c r="G786" s="218">
        <f>ROUND((H782*C786),2)</f>
        <v>472245.7</v>
      </c>
      <c r="H786" s="370"/>
    </row>
    <row r="787" spans="1:8" ht="17.100000000000001" customHeight="1" x14ac:dyDescent="0.25">
      <c r="A787" s="199"/>
      <c r="B787" s="225" t="s">
        <v>61</v>
      </c>
      <c r="C787" s="212">
        <v>0.01</v>
      </c>
      <c r="D787" s="199"/>
      <c r="E787" s="210"/>
      <c r="F787" s="199"/>
      <c r="G787" s="218">
        <f>ROUND((H782*C787),2)</f>
        <v>16865.919999999998</v>
      </c>
      <c r="H787" s="370"/>
    </row>
    <row r="788" spans="1:8" ht="17.100000000000001" customHeight="1" x14ac:dyDescent="0.25">
      <c r="A788" s="199"/>
      <c r="B788" s="225" t="s">
        <v>62</v>
      </c>
      <c r="C788" s="212">
        <v>0.03</v>
      </c>
      <c r="D788" s="199"/>
      <c r="E788" s="210"/>
      <c r="F788" s="199"/>
      <c r="G788" s="218">
        <f>ROUND((H782*C788),2)</f>
        <v>50597.75</v>
      </c>
      <c r="H788" s="370"/>
    </row>
    <row r="789" spans="1:8" ht="17.100000000000001" customHeight="1" x14ac:dyDescent="0.25">
      <c r="A789" s="247"/>
      <c r="D789" s="215" t="s">
        <v>63</v>
      </c>
      <c r="E789" s="216"/>
      <c r="F789" s="216"/>
      <c r="G789" s="216"/>
      <c r="H789" s="370">
        <f>SUM(G785:G788)</f>
        <v>539709.37</v>
      </c>
    </row>
    <row r="790" spans="1:8" ht="17.100000000000001" customHeight="1" x14ac:dyDescent="0.25">
      <c r="A790" s="247"/>
      <c r="E790" s="208"/>
      <c r="F790" s="208"/>
      <c r="G790" s="208"/>
      <c r="H790" s="370"/>
    </row>
    <row r="791" spans="1:8" ht="17.100000000000001" customHeight="1" x14ac:dyDescent="0.25">
      <c r="A791" s="247"/>
      <c r="D791" s="215" t="s">
        <v>64</v>
      </c>
      <c r="E791" s="216"/>
      <c r="F791" s="216"/>
      <c r="G791" s="208"/>
      <c r="H791" s="370">
        <f>H782+H789</f>
        <v>2226301.17</v>
      </c>
    </row>
    <row r="792" spans="1:8" ht="17.100000000000001" customHeight="1" x14ac:dyDescent="0.25">
      <c r="A792" s="247"/>
      <c r="D792" s="215"/>
      <c r="E792" s="216"/>
      <c r="F792" s="216"/>
      <c r="G792" s="208"/>
      <c r="H792" s="370"/>
    </row>
    <row r="793" spans="1:8" ht="17.100000000000001" customHeight="1" x14ac:dyDescent="0.25">
      <c r="A793" s="247"/>
      <c r="E793" s="216"/>
      <c r="F793" s="216"/>
      <c r="G793" s="208"/>
      <c r="H793" s="370"/>
    </row>
    <row r="794" spans="1:8" ht="17.100000000000001" customHeight="1" x14ac:dyDescent="0.25">
      <c r="A794" s="205"/>
      <c r="B794" s="204"/>
      <c r="E794" s="219"/>
      <c r="F794" s="220"/>
      <c r="G794" s="203"/>
      <c r="H794" s="370"/>
    </row>
    <row r="795" spans="1:8" ht="17.100000000000001" customHeight="1" x14ac:dyDescent="0.25">
      <c r="A795" s="249" t="str">
        <f>+A736</f>
        <v>ING JHON ALEXANDER ARIAS</v>
      </c>
      <c r="B795" s="217"/>
      <c r="E795" s="223" t="str">
        <f>Presupuesto!D65</f>
        <v>ARQ. GUILLERMO YAMID VALLEJOS BENAVIDES</v>
      </c>
      <c r="F795" s="217"/>
      <c r="G795" s="217"/>
      <c r="H795" s="370"/>
    </row>
    <row r="796" spans="1:8" ht="17.100000000000001" customHeight="1" x14ac:dyDescent="0.25">
      <c r="A796" s="250" t="str">
        <f>+A737</f>
        <v>APOYO PROFESIONAL SPOPM</v>
      </c>
      <c r="B796" s="217"/>
      <c r="E796" s="223" t="str">
        <f>Presupuesto!D66</f>
        <v>SECRETARIO DE PLANEACION Y OBRAS PUBLICAS</v>
      </c>
      <c r="F796" s="217"/>
      <c r="G796" s="217"/>
      <c r="H796" s="370"/>
    </row>
    <row r="797" spans="1:8" ht="17.100000000000001" customHeight="1" x14ac:dyDescent="0.25">
      <c r="A797" s="250" t="str">
        <f>+A738</f>
        <v>MP 111037-0703225 NRÑ</v>
      </c>
      <c r="B797" s="580"/>
      <c r="C797" s="579"/>
      <c r="D797" s="579"/>
      <c r="E797" s="582" t="str">
        <f>Presupuesto!D67</f>
        <v>SAN MIGUEL - PUTUMAYO</v>
      </c>
      <c r="F797" s="580"/>
      <c r="G797" s="580"/>
      <c r="H797" s="516"/>
    </row>
    <row r="800" spans="1:8" ht="17.100000000000001" customHeight="1" x14ac:dyDescent="0.3">
      <c r="A800" s="705"/>
      <c r="B800" s="706"/>
      <c r="C800" s="638" t="s">
        <v>224</v>
      </c>
      <c r="D800" s="625" t="s">
        <v>225</v>
      </c>
      <c r="E800" s="626"/>
      <c r="F800" s="275">
        <v>103</v>
      </c>
      <c r="G800" s="753"/>
      <c r="H800" s="754"/>
    </row>
    <row r="801" spans="1:8" ht="17.100000000000001" customHeight="1" x14ac:dyDescent="0.25">
      <c r="A801" s="707"/>
      <c r="B801" s="708"/>
      <c r="C801" s="639"/>
      <c r="D801" s="634" t="s">
        <v>195</v>
      </c>
      <c r="E801" s="635"/>
      <c r="F801" s="712">
        <v>51</v>
      </c>
      <c r="G801" s="755"/>
      <c r="H801" s="756"/>
    </row>
    <row r="802" spans="1:8" ht="17.100000000000001" customHeight="1" x14ac:dyDescent="0.25">
      <c r="A802" s="707"/>
      <c r="B802" s="708"/>
      <c r="C802" s="307" t="s">
        <v>196</v>
      </c>
      <c r="D802" s="636"/>
      <c r="E802" s="637"/>
      <c r="F802" s="713"/>
      <c r="G802" s="755"/>
      <c r="H802" s="756"/>
    </row>
    <row r="803" spans="1:8" ht="17.100000000000001" customHeight="1" x14ac:dyDescent="0.25">
      <c r="A803" s="707"/>
      <c r="B803" s="708"/>
      <c r="C803" s="308" t="s">
        <v>197</v>
      </c>
      <c r="D803" s="640" t="s">
        <v>198</v>
      </c>
      <c r="E803" s="641"/>
      <c r="F803" s="309">
        <v>1</v>
      </c>
      <c r="G803" s="755"/>
      <c r="H803" s="756"/>
    </row>
    <row r="804" spans="1:8" ht="27.6" customHeight="1" x14ac:dyDescent="0.25">
      <c r="A804" s="707"/>
      <c r="B804" s="708"/>
      <c r="C804" s="714" t="s">
        <v>199</v>
      </c>
      <c r="D804" s="716" t="s">
        <v>200</v>
      </c>
      <c r="E804" s="717"/>
      <c r="F804" s="307" t="s">
        <v>201</v>
      </c>
      <c r="G804" s="755"/>
      <c r="H804" s="756"/>
    </row>
    <row r="805" spans="1:8" ht="17.100000000000001" customHeight="1" x14ac:dyDescent="0.25">
      <c r="A805" s="709"/>
      <c r="B805" s="710"/>
      <c r="C805" s="715"/>
      <c r="D805" s="718"/>
      <c r="E805" s="719"/>
      <c r="F805" s="310">
        <v>44216</v>
      </c>
      <c r="G805" s="757"/>
      <c r="H805" s="758"/>
    </row>
    <row r="806" spans="1:8" ht="17.100000000000001" customHeight="1" x14ac:dyDescent="0.25">
      <c r="A806" s="759"/>
      <c r="B806" s="760"/>
      <c r="C806" s="760"/>
      <c r="D806" s="760"/>
      <c r="E806" s="760"/>
      <c r="F806" s="760"/>
      <c r="G806" s="760"/>
      <c r="H806" s="761"/>
    </row>
    <row r="807" spans="1:8" ht="24.75" customHeight="1" x14ac:dyDescent="0.25">
      <c r="A807" s="720" t="str">
        <f>A748</f>
        <v>ADECUACION Y MEJORAMIENTO DE AULAS ESCOLARES UBICADA EN LA INSTITUCION EDUCATIVA TECNICO COMERCIAL LA DORADA SEDE ESCUELA CENTRAL DEL MUNICIPIO DE SAN MIGUEL PUTUMAYO</v>
      </c>
      <c r="B807" s="721"/>
      <c r="C807" s="721"/>
      <c r="D807" s="721"/>
      <c r="E807" s="721"/>
      <c r="F807" s="721"/>
      <c r="G807" s="721"/>
      <c r="H807" s="722"/>
    </row>
    <row r="808" spans="1:8" ht="18" customHeight="1" thickBot="1" x14ac:dyDescent="0.3">
      <c r="A808" s="720"/>
      <c r="B808" s="721"/>
      <c r="C808" s="721"/>
      <c r="D808" s="721"/>
      <c r="E808" s="721"/>
      <c r="F808" s="721"/>
      <c r="G808" s="721"/>
      <c r="H808" s="722"/>
    </row>
    <row r="809" spans="1:8" ht="17.100000000000001" customHeight="1" thickBot="1" x14ac:dyDescent="0.3">
      <c r="A809" s="351">
        <f>Presupuesto!A31</f>
        <v>2.8</v>
      </c>
      <c r="B809" s="732" t="str">
        <f>Presupuesto!B31</f>
        <v>MURO EN LADRILLO FAROL NUMERO 4 VISTO</v>
      </c>
      <c r="C809" s="733"/>
      <c r="D809" s="733"/>
      <c r="E809" s="733"/>
      <c r="F809" s="734"/>
      <c r="G809" s="352" t="s">
        <v>28</v>
      </c>
      <c r="H809" s="444" t="str">
        <f>Presupuesto!D31</f>
        <v>M2</v>
      </c>
    </row>
    <row r="810" spans="1:8" ht="17.100000000000001" customHeight="1" x14ac:dyDescent="0.25">
      <c r="A810" s="247"/>
      <c r="H810" s="370"/>
    </row>
    <row r="811" spans="1:8" ht="17.100000000000001" customHeight="1" x14ac:dyDescent="0.25">
      <c r="A811" s="206" t="s">
        <v>29</v>
      </c>
      <c r="B811" s="764" t="s">
        <v>30</v>
      </c>
      <c r="C811" s="765"/>
      <c r="D811" s="765"/>
      <c r="E811" s="765"/>
      <c r="F811" s="765"/>
      <c r="G811" s="766"/>
      <c r="H811" s="370"/>
    </row>
    <row r="812" spans="1:8" ht="17.100000000000001" customHeight="1" x14ac:dyDescent="0.25">
      <c r="A812" s="225"/>
      <c r="B812" s="735" t="s">
        <v>31</v>
      </c>
      <c r="C812" s="736"/>
      <c r="D812" s="225" t="s">
        <v>32</v>
      </c>
      <c r="E812" s="225" t="s">
        <v>33</v>
      </c>
      <c r="F812" s="225" t="s">
        <v>34</v>
      </c>
      <c r="G812" s="225" t="s">
        <v>35</v>
      </c>
      <c r="H812" s="370"/>
    </row>
    <row r="813" spans="1:8" ht="17.100000000000001" customHeight="1" x14ac:dyDescent="0.25">
      <c r="A813" s="199"/>
      <c r="B813" s="735" t="s">
        <v>67</v>
      </c>
      <c r="C813" s="736"/>
      <c r="D813" s="199"/>
      <c r="E813" s="207"/>
      <c r="F813" s="207">
        <v>0.1</v>
      </c>
      <c r="G813" s="218">
        <f>ROUND((H832*F813),2)</f>
        <v>758.33</v>
      </c>
      <c r="H813" s="370"/>
    </row>
    <row r="814" spans="1:8" ht="17.100000000000001" customHeight="1" x14ac:dyDescent="0.25">
      <c r="A814" s="199"/>
      <c r="B814" s="735"/>
      <c r="C814" s="736"/>
      <c r="D814" s="199"/>
      <c r="E814" s="207"/>
      <c r="F814" s="207"/>
      <c r="G814" s="207"/>
      <c r="H814" s="370"/>
    </row>
    <row r="815" spans="1:8" ht="17.100000000000001" customHeight="1" x14ac:dyDescent="0.25">
      <c r="A815" s="199"/>
      <c r="B815" s="735"/>
      <c r="C815" s="736"/>
      <c r="D815" s="199"/>
      <c r="E815" s="207"/>
      <c r="F815" s="207"/>
      <c r="G815" s="207"/>
      <c r="H815" s="370"/>
    </row>
    <row r="816" spans="1:8" ht="17.100000000000001" customHeight="1" x14ac:dyDescent="0.25">
      <c r="A816" s="248"/>
      <c r="E816" s="208" t="s">
        <v>36</v>
      </c>
      <c r="F816" s="208"/>
      <c r="G816" s="208"/>
      <c r="H816" s="370">
        <f>SUM(G813:G815)</f>
        <v>758.33</v>
      </c>
    </row>
    <row r="817" spans="1:11" ht="17.100000000000001" customHeight="1" x14ac:dyDescent="0.25">
      <c r="A817" s="206" t="s">
        <v>37</v>
      </c>
      <c r="B817" s="764" t="s">
        <v>38</v>
      </c>
      <c r="C817" s="765"/>
      <c r="D817" s="765"/>
      <c r="E817" s="765"/>
      <c r="F817" s="765"/>
      <c r="G817" s="766"/>
      <c r="H817" s="370"/>
    </row>
    <row r="818" spans="1:11" ht="17.100000000000001" customHeight="1" x14ac:dyDescent="0.25">
      <c r="A818" s="225"/>
      <c r="B818" s="735" t="s">
        <v>31</v>
      </c>
      <c r="C818" s="736"/>
      <c r="D818" s="199" t="s">
        <v>12</v>
      </c>
      <c r="E818" s="209" t="s">
        <v>39</v>
      </c>
      <c r="F818" s="209" t="s">
        <v>40</v>
      </c>
      <c r="G818" s="209" t="s">
        <v>35</v>
      </c>
      <c r="H818" s="370"/>
    </row>
    <row r="819" spans="1:11" ht="17.100000000000001" customHeight="1" x14ac:dyDescent="0.25">
      <c r="A819" s="199"/>
      <c r="B819" s="769" t="s">
        <v>269</v>
      </c>
      <c r="C819" s="769"/>
      <c r="D819" s="365" t="s">
        <v>232</v>
      </c>
      <c r="E819" s="209">
        <v>0.06</v>
      </c>
      <c r="F819" s="368">
        <f>+'BASICOS URBANOS'!H45</f>
        <v>714616</v>
      </c>
      <c r="G819" s="207">
        <f t="shared" ref="G819:G824" si="15">ROUND((E819*F819),2)</f>
        <v>42876.959999999999</v>
      </c>
      <c r="H819" s="370"/>
    </row>
    <row r="820" spans="1:11" ht="17.100000000000001" customHeight="1" x14ac:dyDescent="0.25">
      <c r="A820" s="199"/>
      <c r="B820" s="768" t="s">
        <v>396</v>
      </c>
      <c r="C820" s="768" t="s">
        <v>283</v>
      </c>
      <c r="D820" s="417" t="s">
        <v>152</v>
      </c>
      <c r="E820" s="418">
        <v>17.5</v>
      </c>
      <c r="F820" s="368">
        <v>3000</v>
      </c>
      <c r="G820" s="207">
        <f t="shared" si="15"/>
        <v>52500</v>
      </c>
      <c r="H820" s="370"/>
    </row>
    <row r="821" spans="1:11" ht="17.100000000000001" customHeight="1" x14ac:dyDescent="0.25">
      <c r="A821" s="199"/>
      <c r="B821" s="739"/>
      <c r="C821" s="740"/>
      <c r="D821" s="365"/>
      <c r="E821" s="367"/>
      <c r="F821" s="368"/>
      <c r="G821" s="207">
        <f t="shared" si="15"/>
        <v>0</v>
      </c>
      <c r="H821" s="370"/>
    </row>
    <row r="822" spans="1:11" ht="17.100000000000001" customHeight="1" x14ac:dyDescent="0.25">
      <c r="A822" s="199"/>
      <c r="B822" s="739"/>
      <c r="C822" s="740"/>
      <c r="D822" s="365"/>
      <c r="E822" s="367"/>
      <c r="F822" s="368"/>
      <c r="G822" s="207">
        <f t="shared" si="15"/>
        <v>0</v>
      </c>
      <c r="H822" s="370"/>
    </row>
    <row r="823" spans="1:11" ht="17.100000000000001" customHeight="1" x14ac:dyDescent="0.25">
      <c r="A823" s="199"/>
      <c r="B823" s="739"/>
      <c r="C823" s="740"/>
      <c r="D823" s="366"/>
      <c r="E823" s="367"/>
      <c r="F823" s="368"/>
      <c r="G823" s="207">
        <f t="shared" si="15"/>
        <v>0</v>
      </c>
      <c r="H823" s="370"/>
    </row>
    <row r="824" spans="1:11" ht="17.100000000000001" customHeight="1" x14ac:dyDescent="0.25">
      <c r="A824" s="199"/>
      <c r="B824" s="739"/>
      <c r="C824" s="740"/>
      <c r="D824" s="366"/>
      <c r="E824" s="367"/>
      <c r="F824" s="368"/>
      <c r="G824" s="207">
        <f t="shared" si="15"/>
        <v>0</v>
      </c>
      <c r="H824" s="370"/>
    </row>
    <row r="825" spans="1:11" ht="17.100000000000001" customHeight="1" x14ac:dyDescent="0.25">
      <c r="A825" s="199"/>
      <c r="B825" s="739"/>
      <c r="C825" s="740"/>
      <c r="D825" s="199"/>
      <c r="E825" s="207"/>
      <c r="F825" s="207"/>
      <c r="G825" s="207"/>
      <c r="H825" s="370"/>
    </row>
    <row r="826" spans="1:11" ht="17.100000000000001" customHeight="1" x14ac:dyDescent="0.25">
      <c r="A826" s="248" t="s">
        <v>41</v>
      </c>
      <c r="E826" s="208" t="s">
        <v>42</v>
      </c>
      <c r="F826" s="208"/>
      <c r="G826" s="208"/>
      <c r="H826" s="370">
        <f>(SUM(G819:G824))</f>
        <v>95376.959999999992</v>
      </c>
    </row>
    <row r="827" spans="1:11" ht="17.100000000000001" customHeight="1" x14ac:dyDescent="0.25">
      <c r="A827" s="206" t="s">
        <v>43</v>
      </c>
      <c r="B827" s="764" t="s">
        <v>44</v>
      </c>
      <c r="C827" s="765"/>
      <c r="D827" s="765"/>
      <c r="E827" s="765"/>
      <c r="F827" s="765"/>
      <c r="G827" s="766"/>
      <c r="H827" s="370"/>
    </row>
    <row r="828" spans="1:11" ht="17.100000000000001" customHeight="1" x14ac:dyDescent="0.25">
      <c r="A828" s="199" t="s">
        <v>45</v>
      </c>
      <c r="B828" s="225" t="s">
        <v>31</v>
      </c>
      <c r="C828" s="225" t="s">
        <v>46</v>
      </c>
      <c r="D828" s="225" t="s">
        <v>47</v>
      </c>
      <c r="E828" s="209" t="s">
        <v>48</v>
      </c>
      <c r="F828" s="207" t="s">
        <v>34</v>
      </c>
      <c r="G828" s="207" t="s">
        <v>35</v>
      </c>
      <c r="H828" s="370"/>
    </row>
    <row r="829" spans="1:11" ht="17.100000000000001" customHeight="1" x14ac:dyDescent="0.25">
      <c r="A829" s="199">
        <v>2</v>
      </c>
      <c r="B829" s="199" t="s">
        <v>189</v>
      </c>
      <c r="C829" s="211">
        <v>70000</v>
      </c>
      <c r="D829" s="212">
        <v>0.75</v>
      </c>
      <c r="E829" s="210">
        <f>+(A829*C829)+(A829*C829*D829)</f>
        <v>245000</v>
      </c>
      <c r="F829" s="221">
        <v>60</v>
      </c>
      <c r="G829" s="218">
        <f>ROUND(((E829)/(F829)),2)</f>
        <v>4083.33</v>
      </c>
      <c r="H829" s="370"/>
    </row>
    <row r="830" spans="1:11" ht="17.100000000000001" customHeight="1" x14ac:dyDescent="0.25">
      <c r="A830" s="199">
        <v>1</v>
      </c>
      <c r="B830" s="199" t="s">
        <v>233</v>
      </c>
      <c r="C830" s="211">
        <v>120000</v>
      </c>
      <c r="D830" s="212">
        <v>0.75</v>
      </c>
      <c r="E830" s="210">
        <f>+(A830*C830)+(A830*C830*D830)</f>
        <v>210000</v>
      </c>
      <c r="F830" s="221">
        <v>60</v>
      </c>
      <c r="G830" s="218">
        <f>ROUND(((E830)/(F830)),2)</f>
        <v>3500</v>
      </c>
      <c r="H830" s="370"/>
    </row>
    <row r="831" spans="1:11" ht="17.100000000000001" customHeight="1" x14ac:dyDescent="0.25">
      <c r="A831" s="199"/>
      <c r="B831" s="199"/>
      <c r="C831" s="199"/>
      <c r="D831" s="199"/>
      <c r="E831" s="207"/>
      <c r="F831" s="207"/>
      <c r="G831" s="207"/>
      <c r="H831" s="370"/>
    </row>
    <row r="832" spans="1:11" ht="17.100000000000001" customHeight="1" x14ac:dyDescent="0.25">
      <c r="A832" s="248"/>
      <c r="E832" s="208" t="s">
        <v>50</v>
      </c>
      <c r="F832" s="208"/>
      <c r="G832" s="208"/>
      <c r="H832" s="370">
        <f>SUM(G829)+(G830)</f>
        <v>7583.33</v>
      </c>
    </row>
    <row r="833" spans="1:8" ht="17.100000000000001" customHeight="1" x14ac:dyDescent="0.25">
      <c r="A833" s="206" t="s">
        <v>51</v>
      </c>
      <c r="B833" s="764" t="s">
        <v>18</v>
      </c>
      <c r="C833" s="765"/>
      <c r="D833" s="765"/>
      <c r="E833" s="765"/>
      <c r="F833" s="765"/>
      <c r="G833" s="766"/>
      <c r="H833" s="370"/>
    </row>
    <row r="834" spans="1:8" ht="17.100000000000001" customHeight="1" x14ac:dyDescent="0.25">
      <c r="A834" s="199"/>
      <c r="B834" s="199" t="s">
        <v>31</v>
      </c>
      <c r="C834" s="225" t="s">
        <v>12</v>
      </c>
      <c r="D834" s="225" t="s">
        <v>13</v>
      </c>
      <c r="E834" s="225" t="s">
        <v>52</v>
      </c>
      <c r="F834" s="225"/>
      <c r="G834" s="207" t="s">
        <v>53</v>
      </c>
      <c r="H834" s="370"/>
    </row>
    <row r="835" spans="1:8" ht="17.100000000000001" customHeight="1" x14ac:dyDescent="0.25">
      <c r="A835" s="199"/>
      <c r="B835" s="199"/>
      <c r="C835" s="214"/>
      <c r="D835" s="199"/>
      <c r="E835" s="207"/>
      <c r="F835" s="207"/>
      <c r="G835" s="207"/>
      <c r="H835" s="370"/>
    </row>
    <row r="836" spans="1:8" ht="17.100000000000001" customHeight="1" x14ac:dyDescent="0.25">
      <c r="A836" s="199"/>
      <c r="B836" s="199"/>
      <c r="C836" s="210"/>
      <c r="D836" s="199"/>
      <c r="E836" s="207"/>
      <c r="F836" s="207"/>
      <c r="G836" s="207"/>
      <c r="H836" s="370"/>
    </row>
    <row r="837" spans="1:8" ht="17.100000000000001" customHeight="1" x14ac:dyDescent="0.25">
      <c r="A837" s="199"/>
      <c r="B837" s="199"/>
      <c r="C837" s="199"/>
      <c r="D837" s="199"/>
      <c r="E837" s="207"/>
      <c r="F837" s="207"/>
      <c r="G837" s="207"/>
      <c r="H837" s="370"/>
    </row>
    <row r="838" spans="1:8" ht="17.100000000000001" customHeight="1" x14ac:dyDescent="0.25">
      <c r="A838" s="248"/>
      <c r="E838" s="208" t="s">
        <v>50</v>
      </c>
      <c r="F838" s="208"/>
      <c r="G838" s="208"/>
      <c r="H838" s="370">
        <f>ROUND(SUM(G835)+(G836),0)</f>
        <v>0</v>
      </c>
    </row>
    <row r="839" spans="1:8" ht="17.100000000000001" customHeight="1" x14ac:dyDescent="0.25">
      <c r="A839" s="247"/>
      <c r="E839" s="208"/>
      <c r="F839" s="208"/>
      <c r="G839" s="208"/>
      <c r="H839" s="370"/>
    </row>
    <row r="840" spans="1:8" ht="17.100000000000001" customHeight="1" x14ac:dyDescent="0.25">
      <c r="A840" s="247"/>
      <c r="D840" s="215" t="s">
        <v>54</v>
      </c>
      <c r="E840" s="216"/>
      <c r="F840" s="216"/>
      <c r="G840" s="216"/>
      <c r="H840" s="370">
        <f>ROUND((SUM(H816:H839)),2)</f>
        <v>103718.62</v>
      </c>
    </row>
    <row r="841" spans="1:8" ht="17.100000000000001" customHeight="1" x14ac:dyDescent="0.25">
      <c r="A841" s="247"/>
      <c r="E841" s="208"/>
      <c r="F841" s="208"/>
      <c r="G841" s="208"/>
      <c r="H841" s="370"/>
    </row>
    <row r="842" spans="1:8" ht="17.100000000000001" customHeight="1" x14ac:dyDescent="0.25">
      <c r="A842" s="206" t="s">
        <v>55</v>
      </c>
      <c r="B842" s="764" t="s">
        <v>56</v>
      </c>
      <c r="C842" s="765"/>
      <c r="D842" s="765"/>
      <c r="E842" s="765"/>
      <c r="F842" s="765"/>
      <c r="G842" s="766"/>
      <c r="H842" s="370"/>
    </row>
    <row r="843" spans="1:8" ht="17.100000000000001" customHeight="1" x14ac:dyDescent="0.25">
      <c r="A843" s="225"/>
      <c r="B843" s="225" t="s">
        <v>31</v>
      </c>
      <c r="C843" s="225" t="s">
        <v>57</v>
      </c>
      <c r="D843" s="199" t="s">
        <v>58</v>
      </c>
      <c r="E843" s="207"/>
      <c r="F843" s="207" t="s">
        <v>59</v>
      </c>
      <c r="G843" s="207"/>
      <c r="H843" s="370"/>
    </row>
    <row r="844" spans="1:8" ht="17.100000000000001" customHeight="1" x14ac:dyDescent="0.25">
      <c r="A844" s="199"/>
      <c r="B844" s="225" t="s">
        <v>60</v>
      </c>
      <c r="C844" s="212">
        <v>0.28000000000000003</v>
      </c>
      <c r="D844" s="199"/>
      <c r="E844" s="210"/>
      <c r="F844" s="199"/>
      <c r="G844" s="218">
        <f>ROUND((H840*C844),2)</f>
        <v>29041.21</v>
      </c>
      <c r="H844" s="370"/>
    </row>
    <row r="845" spans="1:8" ht="17.100000000000001" customHeight="1" x14ac:dyDescent="0.25">
      <c r="A845" s="199"/>
      <c r="B845" s="225" t="s">
        <v>61</v>
      </c>
      <c r="C845" s="212">
        <v>0.01</v>
      </c>
      <c r="D845" s="199"/>
      <c r="E845" s="210"/>
      <c r="F845" s="199"/>
      <c r="G845" s="218">
        <f>ROUND((H840*C845),2)</f>
        <v>1037.19</v>
      </c>
      <c r="H845" s="370"/>
    </row>
    <row r="846" spans="1:8" ht="17.100000000000001" customHeight="1" x14ac:dyDescent="0.25">
      <c r="A846" s="199"/>
      <c r="B846" s="225" t="s">
        <v>62</v>
      </c>
      <c r="C846" s="212">
        <v>0.03</v>
      </c>
      <c r="D846" s="199"/>
      <c r="E846" s="210"/>
      <c r="F846" s="199"/>
      <c r="G846" s="218">
        <f>ROUND((H840*C846),2)</f>
        <v>3111.56</v>
      </c>
      <c r="H846" s="370"/>
    </row>
    <row r="847" spans="1:8" ht="17.100000000000001" customHeight="1" x14ac:dyDescent="0.25">
      <c r="A847" s="247"/>
      <c r="D847" s="215" t="s">
        <v>63</v>
      </c>
      <c r="E847" s="216"/>
      <c r="F847" s="216"/>
      <c r="G847" s="216"/>
      <c r="H847" s="370">
        <f>SUM(G843:G846)</f>
        <v>33189.96</v>
      </c>
    </row>
    <row r="848" spans="1:8" ht="17.100000000000001" customHeight="1" x14ac:dyDescent="0.25">
      <c r="A848" s="247"/>
      <c r="E848" s="208"/>
      <c r="F848" s="208"/>
      <c r="G848" s="208"/>
      <c r="H848" s="370"/>
    </row>
    <row r="849" spans="1:8" ht="17.100000000000001" customHeight="1" x14ac:dyDescent="0.25">
      <c r="A849" s="247"/>
      <c r="D849" s="215" t="s">
        <v>64</v>
      </c>
      <c r="E849" s="216"/>
      <c r="F849" s="216"/>
      <c r="G849" s="208"/>
      <c r="H849" s="370">
        <f>H840+H847</f>
        <v>136908.57999999999</v>
      </c>
    </row>
    <row r="850" spans="1:8" ht="17.100000000000001" customHeight="1" x14ac:dyDescent="0.25">
      <c r="A850" s="247"/>
      <c r="D850" s="215"/>
      <c r="E850" s="216"/>
      <c r="F850" s="216"/>
      <c r="G850" s="208"/>
      <c r="H850" s="370"/>
    </row>
    <row r="851" spans="1:8" ht="17.100000000000001" customHeight="1" x14ac:dyDescent="0.25">
      <c r="A851" s="247"/>
      <c r="E851" s="216"/>
      <c r="F851" s="216"/>
      <c r="G851" s="208"/>
      <c r="H851" s="370"/>
    </row>
    <row r="852" spans="1:8" ht="17.100000000000001" customHeight="1" x14ac:dyDescent="0.25">
      <c r="A852" s="205"/>
      <c r="B852" s="204"/>
      <c r="E852" s="219"/>
      <c r="F852" s="220"/>
      <c r="G852" s="203"/>
      <c r="H852" s="370"/>
    </row>
    <row r="853" spans="1:8" ht="17.100000000000001" customHeight="1" x14ac:dyDescent="0.25">
      <c r="A853" s="249" t="str">
        <f>+A795</f>
        <v>ING JHON ALEXANDER ARIAS</v>
      </c>
      <c r="B853" s="217"/>
      <c r="E853" s="223" t="str">
        <f>E795</f>
        <v>ARQ. GUILLERMO YAMID VALLEJOS BENAVIDES</v>
      </c>
      <c r="F853" s="217"/>
      <c r="G853" s="217"/>
      <c r="H853" s="370"/>
    </row>
    <row r="854" spans="1:8" ht="17.100000000000001" customHeight="1" x14ac:dyDescent="0.25">
      <c r="A854" s="250" t="str">
        <f t="shared" ref="A854:A855" si="16">+A796</f>
        <v>APOYO PROFESIONAL SPOPM</v>
      </c>
      <c r="B854" s="217"/>
      <c r="E854" s="223" t="str">
        <f>E796</f>
        <v>SECRETARIO DE PLANEACION Y OBRAS PUBLICAS</v>
      </c>
      <c r="F854" s="217"/>
      <c r="G854" s="217"/>
      <c r="H854" s="370"/>
    </row>
    <row r="855" spans="1:8" ht="17.100000000000001" customHeight="1" x14ac:dyDescent="0.25">
      <c r="A855" s="250" t="str">
        <f t="shared" si="16"/>
        <v>MP 111037-0703225 NRÑ</v>
      </c>
      <c r="B855" s="580"/>
      <c r="C855" s="579"/>
      <c r="D855" s="579"/>
      <c r="E855" s="582" t="str">
        <f>E797</f>
        <v>SAN MIGUEL - PUTUMAYO</v>
      </c>
      <c r="F855" s="580"/>
      <c r="G855" s="580"/>
      <c r="H855" s="516"/>
    </row>
    <row r="858" spans="1:8" ht="17.100000000000001" customHeight="1" x14ac:dyDescent="0.3">
      <c r="A858" s="705"/>
      <c r="B858" s="706"/>
      <c r="C858" s="638" t="s">
        <v>224</v>
      </c>
      <c r="D858" s="625" t="s">
        <v>225</v>
      </c>
      <c r="E858" s="626"/>
      <c r="F858" s="275">
        <v>103</v>
      </c>
      <c r="G858" s="753"/>
      <c r="H858" s="754"/>
    </row>
    <row r="859" spans="1:8" ht="17.100000000000001" customHeight="1" x14ac:dyDescent="0.25">
      <c r="A859" s="707"/>
      <c r="B859" s="708"/>
      <c r="C859" s="639"/>
      <c r="D859" s="634" t="s">
        <v>195</v>
      </c>
      <c r="E859" s="635"/>
      <c r="F859" s="712">
        <v>51</v>
      </c>
      <c r="G859" s="755"/>
      <c r="H859" s="756"/>
    </row>
    <row r="860" spans="1:8" ht="17.100000000000001" customHeight="1" x14ac:dyDescent="0.25">
      <c r="A860" s="707"/>
      <c r="B860" s="708"/>
      <c r="C860" s="307" t="s">
        <v>196</v>
      </c>
      <c r="D860" s="636"/>
      <c r="E860" s="637"/>
      <c r="F860" s="713"/>
      <c r="G860" s="755"/>
      <c r="H860" s="756"/>
    </row>
    <row r="861" spans="1:8" ht="17.100000000000001" customHeight="1" x14ac:dyDescent="0.25">
      <c r="A861" s="707"/>
      <c r="B861" s="708"/>
      <c r="C861" s="308" t="s">
        <v>197</v>
      </c>
      <c r="D861" s="640" t="s">
        <v>198</v>
      </c>
      <c r="E861" s="641"/>
      <c r="F861" s="309">
        <v>1</v>
      </c>
      <c r="G861" s="755"/>
      <c r="H861" s="756"/>
    </row>
    <row r="862" spans="1:8" ht="27.6" customHeight="1" x14ac:dyDescent="0.25">
      <c r="A862" s="707"/>
      <c r="B862" s="708"/>
      <c r="C862" s="714" t="s">
        <v>199</v>
      </c>
      <c r="D862" s="716" t="s">
        <v>200</v>
      </c>
      <c r="E862" s="717"/>
      <c r="F862" s="307" t="s">
        <v>201</v>
      </c>
      <c r="G862" s="755"/>
      <c r="H862" s="756"/>
    </row>
    <row r="863" spans="1:8" ht="17.100000000000001" customHeight="1" x14ac:dyDescent="0.25">
      <c r="A863" s="709"/>
      <c r="B863" s="710"/>
      <c r="C863" s="715"/>
      <c r="D863" s="718"/>
      <c r="E863" s="719"/>
      <c r="F863" s="310">
        <v>44216</v>
      </c>
      <c r="G863" s="757"/>
      <c r="H863" s="758"/>
    </row>
    <row r="864" spans="1:8" ht="17.100000000000001" customHeight="1" x14ac:dyDescent="0.25">
      <c r="A864" s="759"/>
      <c r="B864" s="760"/>
      <c r="C864" s="760"/>
      <c r="D864" s="760"/>
      <c r="E864" s="760"/>
      <c r="F864" s="760"/>
      <c r="G864" s="760"/>
      <c r="H864" s="761"/>
    </row>
    <row r="865" spans="1:11" ht="24.75" customHeight="1" x14ac:dyDescent="0.25">
      <c r="A865" s="720" t="str">
        <f>A807</f>
        <v>ADECUACION Y MEJORAMIENTO DE AULAS ESCOLARES UBICADA EN LA INSTITUCION EDUCATIVA TECNICO COMERCIAL LA DORADA SEDE ESCUELA CENTRAL DEL MUNICIPIO DE SAN MIGUEL PUTUMAYO</v>
      </c>
      <c r="B865" s="721"/>
      <c r="C865" s="721"/>
      <c r="D865" s="721"/>
      <c r="E865" s="721"/>
      <c r="F865" s="721"/>
      <c r="G865" s="721"/>
      <c r="H865" s="722"/>
    </row>
    <row r="866" spans="1:11" ht="18" customHeight="1" thickBot="1" x14ac:dyDescent="0.3">
      <c r="A866" s="720"/>
      <c r="B866" s="721"/>
      <c r="C866" s="721"/>
      <c r="D866" s="721"/>
      <c r="E866" s="721"/>
      <c r="F866" s="721"/>
      <c r="G866" s="721"/>
      <c r="H866" s="722"/>
    </row>
    <row r="867" spans="1:11" ht="17.100000000000001" customHeight="1" thickBot="1" x14ac:dyDescent="0.3">
      <c r="A867" s="351">
        <f>Presupuesto!A34</f>
        <v>3.1</v>
      </c>
      <c r="B867" s="732" t="str">
        <f>Presupuesto!B34</f>
        <v>CONTRAPISO DE CONCRETO LIVIANO DE RESISTENCIA A COMPRESIÓN 2,5 MPA ESP 6 CM</v>
      </c>
      <c r="C867" s="733"/>
      <c r="D867" s="733"/>
      <c r="E867" s="733"/>
      <c r="F867" s="734"/>
      <c r="G867" s="352" t="s">
        <v>28</v>
      </c>
      <c r="H867" s="444" t="str">
        <f>Presupuesto!D34</f>
        <v>M2</v>
      </c>
    </row>
    <row r="868" spans="1:11" ht="17.100000000000001" customHeight="1" x14ac:dyDescent="0.25">
      <c r="A868" s="247"/>
      <c r="H868" s="370"/>
    </row>
    <row r="869" spans="1:11" ht="17.100000000000001" customHeight="1" x14ac:dyDescent="0.25">
      <c r="A869" s="206" t="s">
        <v>29</v>
      </c>
      <c r="B869" s="764" t="s">
        <v>30</v>
      </c>
      <c r="C869" s="765"/>
      <c r="D869" s="765"/>
      <c r="E869" s="765"/>
      <c r="F869" s="765"/>
      <c r="G869" s="766"/>
      <c r="H869" s="370"/>
    </row>
    <row r="870" spans="1:11" ht="17.100000000000001" customHeight="1" x14ac:dyDescent="0.25">
      <c r="A870" s="225"/>
      <c r="B870" s="735" t="s">
        <v>31</v>
      </c>
      <c r="C870" s="736"/>
      <c r="D870" s="225" t="s">
        <v>32</v>
      </c>
      <c r="E870" s="225" t="s">
        <v>33</v>
      </c>
      <c r="F870" s="225" t="s">
        <v>34</v>
      </c>
      <c r="G870" s="225" t="s">
        <v>35</v>
      </c>
      <c r="H870" s="370"/>
    </row>
    <row r="871" spans="1:11" ht="17.100000000000001" customHeight="1" x14ac:dyDescent="0.25">
      <c r="A871" s="199"/>
      <c r="B871" s="735" t="s">
        <v>67</v>
      </c>
      <c r="C871" s="736"/>
      <c r="D871" s="199"/>
      <c r="E871" s="207"/>
      <c r="F871" s="207">
        <v>0.1</v>
      </c>
      <c r="G871" s="218">
        <f>ROUND((H890*F871),2)</f>
        <v>1820</v>
      </c>
      <c r="H871" s="370"/>
    </row>
    <row r="872" spans="1:11" ht="17.100000000000001" customHeight="1" x14ac:dyDescent="0.25">
      <c r="A872" s="199"/>
      <c r="B872" s="735"/>
      <c r="C872" s="736"/>
      <c r="D872" s="199"/>
      <c r="E872" s="207"/>
      <c r="F872" s="207"/>
      <c r="G872" s="207"/>
      <c r="H872" s="370"/>
    </row>
    <row r="873" spans="1:11" ht="17.100000000000001" customHeight="1" x14ac:dyDescent="0.25">
      <c r="A873" s="199"/>
      <c r="B873" s="735"/>
      <c r="C873" s="736"/>
      <c r="D873" s="199"/>
      <c r="E873" s="207"/>
      <c r="F873" s="207"/>
      <c r="G873" s="207"/>
      <c r="H873" s="370"/>
    </row>
    <row r="874" spans="1:11" ht="17.100000000000001" customHeight="1" x14ac:dyDescent="0.25">
      <c r="A874" s="248"/>
      <c r="E874" s="208" t="s">
        <v>36</v>
      </c>
      <c r="F874" s="208"/>
      <c r="G874" s="208"/>
      <c r="H874" s="370">
        <f>SUM(G871:G873)</f>
        <v>1820</v>
      </c>
    </row>
    <row r="875" spans="1:11" ht="17.100000000000001" customHeight="1" x14ac:dyDescent="0.25">
      <c r="A875" s="206" t="s">
        <v>37</v>
      </c>
      <c r="B875" s="764" t="s">
        <v>38</v>
      </c>
      <c r="C875" s="765"/>
      <c r="D875" s="765"/>
      <c r="E875" s="765"/>
      <c r="F875" s="765"/>
      <c r="G875" s="766"/>
      <c r="H875" s="370"/>
    </row>
    <row r="876" spans="1:11" ht="17.100000000000001" customHeight="1" x14ac:dyDescent="0.25">
      <c r="A876" s="225"/>
      <c r="B876" s="735" t="s">
        <v>31</v>
      </c>
      <c r="C876" s="736"/>
      <c r="D876" s="199" t="s">
        <v>12</v>
      </c>
      <c r="E876" s="209" t="s">
        <v>39</v>
      </c>
      <c r="F876" s="209" t="s">
        <v>40</v>
      </c>
      <c r="G876" s="209" t="s">
        <v>35</v>
      </c>
      <c r="H876" s="370"/>
    </row>
    <row r="877" spans="1:11" ht="17.100000000000001" customHeight="1" x14ac:dyDescent="0.25">
      <c r="A877" s="199"/>
      <c r="B877" s="769" t="s">
        <v>254</v>
      </c>
      <c r="C877" s="769" t="s">
        <v>282</v>
      </c>
      <c r="D877" s="365" t="s">
        <v>232</v>
      </c>
      <c r="E877" s="209">
        <v>0.03</v>
      </c>
      <c r="F877" s="368">
        <f>+'BASICOS URBANOS'!H45</f>
        <v>714616</v>
      </c>
      <c r="G877" s="207">
        <f t="shared" ref="G877:G882" si="17">ROUND((E877*F877),2)</f>
        <v>21438.48</v>
      </c>
      <c r="H877" s="370"/>
    </row>
    <row r="878" spans="1:11" ht="17.100000000000001" customHeight="1" x14ac:dyDescent="0.25">
      <c r="A878" s="199"/>
      <c r="B878" s="768"/>
      <c r="C878" s="768"/>
      <c r="D878" s="417"/>
      <c r="E878" s="418"/>
      <c r="F878" s="368"/>
      <c r="G878" s="207">
        <f t="shared" si="17"/>
        <v>0</v>
      </c>
      <c r="H878" s="370"/>
    </row>
    <row r="879" spans="1:11" ht="17.100000000000001" customHeight="1" x14ac:dyDescent="0.25">
      <c r="A879" s="199"/>
      <c r="B879" s="739"/>
      <c r="C879" s="740"/>
      <c r="D879" s="365"/>
      <c r="E879" s="367"/>
      <c r="F879" s="368"/>
      <c r="G879" s="207">
        <f t="shared" si="17"/>
        <v>0</v>
      </c>
      <c r="H879" s="370"/>
    </row>
    <row r="880" spans="1:11" ht="17.100000000000001" customHeight="1" x14ac:dyDescent="0.25">
      <c r="A880" s="199"/>
      <c r="B880" s="739"/>
      <c r="C880" s="740"/>
      <c r="D880" s="365"/>
      <c r="E880" s="367"/>
      <c r="F880" s="368"/>
      <c r="G880" s="207">
        <f t="shared" si="17"/>
        <v>0</v>
      </c>
      <c r="H880" s="370"/>
    </row>
    <row r="881" spans="1:8" ht="17.100000000000001" customHeight="1" x14ac:dyDescent="0.25">
      <c r="A881" s="199"/>
      <c r="B881" s="739"/>
      <c r="C881" s="740"/>
      <c r="D881" s="366"/>
      <c r="E881" s="367"/>
      <c r="F881" s="368"/>
      <c r="G881" s="207">
        <f t="shared" si="17"/>
        <v>0</v>
      </c>
      <c r="H881" s="370"/>
    </row>
    <row r="882" spans="1:8" ht="17.100000000000001" customHeight="1" x14ac:dyDescent="0.25">
      <c r="A882" s="199"/>
      <c r="B882" s="739"/>
      <c r="C882" s="740"/>
      <c r="D882" s="366"/>
      <c r="E882" s="367"/>
      <c r="F882" s="368"/>
      <c r="G882" s="207">
        <f t="shared" si="17"/>
        <v>0</v>
      </c>
      <c r="H882" s="370"/>
    </row>
    <row r="883" spans="1:8" ht="17.100000000000001" customHeight="1" x14ac:dyDescent="0.25">
      <c r="A883" s="199"/>
      <c r="B883" s="739"/>
      <c r="C883" s="740"/>
      <c r="D883" s="199"/>
      <c r="E883" s="207"/>
      <c r="F883" s="207"/>
      <c r="G883" s="207"/>
      <c r="H883" s="370"/>
    </row>
    <row r="884" spans="1:8" ht="17.100000000000001" customHeight="1" x14ac:dyDescent="0.25">
      <c r="A884" s="248" t="s">
        <v>41</v>
      </c>
      <c r="E884" s="208" t="s">
        <v>42</v>
      </c>
      <c r="F884" s="208"/>
      <c r="G884" s="208"/>
      <c r="H884" s="370">
        <f>(SUM(G877:G882))</f>
        <v>21438.48</v>
      </c>
    </row>
    <row r="885" spans="1:8" ht="17.100000000000001" customHeight="1" x14ac:dyDescent="0.25">
      <c r="A885" s="206" t="s">
        <v>43</v>
      </c>
      <c r="B885" s="764" t="s">
        <v>44</v>
      </c>
      <c r="C885" s="765"/>
      <c r="D885" s="765"/>
      <c r="E885" s="765"/>
      <c r="F885" s="765"/>
      <c r="G885" s="766"/>
      <c r="H885" s="370"/>
    </row>
    <row r="886" spans="1:8" ht="17.100000000000001" customHeight="1" x14ac:dyDescent="0.25">
      <c r="A886" s="199" t="s">
        <v>45</v>
      </c>
      <c r="B886" s="225" t="s">
        <v>31</v>
      </c>
      <c r="C886" s="225" t="s">
        <v>46</v>
      </c>
      <c r="D886" s="225" t="s">
        <v>47</v>
      </c>
      <c r="E886" s="209" t="s">
        <v>48</v>
      </c>
      <c r="F886" s="207" t="s">
        <v>34</v>
      </c>
      <c r="G886" s="207" t="s">
        <v>35</v>
      </c>
      <c r="H886" s="370"/>
    </row>
    <row r="887" spans="1:8" ht="17.100000000000001" customHeight="1" x14ac:dyDescent="0.25">
      <c r="A887" s="199">
        <v>2</v>
      </c>
      <c r="B887" s="199" t="s">
        <v>189</v>
      </c>
      <c r="C887" s="211">
        <v>70000</v>
      </c>
      <c r="D887" s="212">
        <v>0.75</v>
      </c>
      <c r="E887" s="210">
        <f>+(A887*C887)+(A887*C887*D887)</f>
        <v>245000</v>
      </c>
      <c r="F887" s="221">
        <v>25</v>
      </c>
      <c r="G887" s="218">
        <f>ROUND(((E887)/(F887)),2)</f>
        <v>9800</v>
      </c>
      <c r="H887" s="370"/>
    </row>
    <row r="888" spans="1:8" ht="17.100000000000001" customHeight="1" x14ac:dyDescent="0.25">
      <c r="A888" s="199">
        <v>1</v>
      </c>
      <c r="B888" s="199" t="s">
        <v>233</v>
      </c>
      <c r="C888" s="211">
        <v>120000</v>
      </c>
      <c r="D888" s="212">
        <v>0.75</v>
      </c>
      <c r="E888" s="210">
        <f>+(A888*C888)+(A888*C888*D888)</f>
        <v>210000</v>
      </c>
      <c r="F888" s="221">
        <v>25</v>
      </c>
      <c r="G888" s="218">
        <f>ROUND(((E888)/(F888)),2)</f>
        <v>8400</v>
      </c>
      <c r="H888" s="370"/>
    </row>
    <row r="889" spans="1:8" ht="17.100000000000001" customHeight="1" x14ac:dyDescent="0.25">
      <c r="A889" s="199"/>
      <c r="B889" s="199"/>
      <c r="C889" s="199"/>
      <c r="D889" s="199"/>
      <c r="E889" s="207"/>
      <c r="F889" s="207"/>
      <c r="G889" s="207"/>
      <c r="H889" s="370"/>
    </row>
    <row r="890" spans="1:8" ht="17.100000000000001" customHeight="1" x14ac:dyDescent="0.25">
      <c r="A890" s="248"/>
      <c r="E890" s="208" t="s">
        <v>50</v>
      </c>
      <c r="F890" s="208"/>
      <c r="G890" s="208"/>
      <c r="H890" s="370">
        <f>SUM(G887)+(G888)</f>
        <v>18200</v>
      </c>
    </row>
    <row r="891" spans="1:8" ht="17.100000000000001" customHeight="1" x14ac:dyDescent="0.25">
      <c r="A891" s="206" t="s">
        <v>51</v>
      </c>
      <c r="B891" s="764" t="s">
        <v>18</v>
      </c>
      <c r="C891" s="765"/>
      <c r="D891" s="765"/>
      <c r="E891" s="765"/>
      <c r="F891" s="765"/>
      <c r="G891" s="766"/>
      <c r="H891" s="370"/>
    </row>
    <row r="892" spans="1:8" ht="17.100000000000001" customHeight="1" x14ac:dyDescent="0.25">
      <c r="A892" s="199"/>
      <c r="B892" s="199" t="s">
        <v>31</v>
      </c>
      <c r="C892" s="225" t="s">
        <v>12</v>
      </c>
      <c r="D892" s="225" t="s">
        <v>13</v>
      </c>
      <c r="E892" s="225" t="s">
        <v>52</v>
      </c>
      <c r="F892" s="225"/>
      <c r="G892" s="207" t="s">
        <v>53</v>
      </c>
      <c r="H892" s="370"/>
    </row>
    <row r="893" spans="1:8" ht="17.100000000000001" customHeight="1" x14ac:dyDescent="0.25">
      <c r="A893" s="199"/>
      <c r="B893" s="199"/>
      <c r="C893" s="214"/>
      <c r="D893" s="199"/>
      <c r="E893" s="207"/>
      <c r="F893" s="207"/>
      <c r="G893" s="207"/>
      <c r="H893" s="370"/>
    </row>
    <row r="894" spans="1:8" ht="17.100000000000001" customHeight="1" x14ac:dyDescent="0.25">
      <c r="A894" s="199"/>
      <c r="B894" s="199"/>
      <c r="C894" s="210"/>
      <c r="D894" s="199"/>
      <c r="E894" s="207"/>
      <c r="F894" s="207"/>
      <c r="G894" s="207"/>
      <c r="H894" s="370"/>
    </row>
    <row r="895" spans="1:8" ht="17.100000000000001" customHeight="1" x14ac:dyDescent="0.25">
      <c r="A895" s="199"/>
      <c r="B895" s="199"/>
      <c r="C895" s="199"/>
      <c r="D895" s="199"/>
      <c r="E895" s="207"/>
      <c r="F895" s="207"/>
      <c r="G895" s="207"/>
      <c r="H895" s="370"/>
    </row>
    <row r="896" spans="1:8" ht="17.100000000000001" customHeight="1" x14ac:dyDescent="0.25">
      <c r="A896" s="248"/>
      <c r="E896" s="208" t="s">
        <v>50</v>
      </c>
      <c r="F896" s="208"/>
      <c r="G896" s="208"/>
      <c r="H896" s="370">
        <f>ROUND(SUM(G893)+(G894),0)</f>
        <v>0</v>
      </c>
    </row>
    <row r="897" spans="1:8" ht="17.100000000000001" customHeight="1" x14ac:dyDescent="0.25">
      <c r="A897" s="247"/>
      <c r="E897" s="208"/>
      <c r="F897" s="208"/>
      <c r="G897" s="208"/>
      <c r="H897" s="370"/>
    </row>
    <row r="898" spans="1:8" ht="17.100000000000001" customHeight="1" x14ac:dyDescent="0.25">
      <c r="A898" s="247"/>
      <c r="D898" s="215" t="s">
        <v>54</v>
      </c>
      <c r="E898" s="216"/>
      <c r="F898" s="216"/>
      <c r="G898" s="216"/>
      <c r="H898" s="370">
        <f>ROUND((SUM(H874:H897)),2)</f>
        <v>41458.480000000003</v>
      </c>
    </row>
    <row r="899" spans="1:8" ht="17.100000000000001" customHeight="1" x14ac:dyDescent="0.25">
      <c r="A899" s="247"/>
      <c r="E899" s="208"/>
      <c r="F899" s="208"/>
      <c r="G899" s="208"/>
      <c r="H899" s="370"/>
    </row>
    <row r="900" spans="1:8" ht="17.100000000000001" customHeight="1" x14ac:dyDescent="0.25">
      <c r="A900" s="206" t="s">
        <v>55</v>
      </c>
      <c r="B900" s="764" t="s">
        <v>56</v>
      </c>
      <c r="C900" s="765"/>
      <c r="D900" s="765"/>
      <c r="E900" s="765"/>
      <c r="F900" s="765"/>
      <c r="G900" s="766"/>
      <c r="H900" s="370"/>
    </row>
    <row r="901" spans="1:8" ht="17.100000000000001" customHeight="1" x14ac:dyDescent="0.25">
      <c r="A901" s="225"/>
      <c r="B901" s="225" t="s">
        <v>31</v>
      </c>
      <c r="C901" s="225" t="s">
        <v>57</v>
      </c>
      <c r="D901" s="199" t="s">
        <v>58</v>
      </c>
      <c r="E901" s="207"/>
      <c r="F901" s="207" t="s">
        <v>59</v>
      </c>
      <c r="G901" s="207"/>
      <c r="H901" s="370"/>
    </row>
    <row r="902" spans="1:8" ht="17.100000000000001" customHeight="1" x14ac:dyDescent="0.25">
      <c r="A902" s="199"/>
      <c r="B902" s="225" t="s">
        <v>60</v>
      </c>
      <c r="C902" s="212">
        <v>0.28000000000000003</v>
      </c>
      <c r="D902" s="199"/>
      <c r="E902" s="210"/>
      <c r="F902" s="199"/>
      <c r="G902" s="218">
        <f>ROUND((H898*C902),2)</f>
        <v>11608.37</v>
      </c>
      <c r="H902" s="370"/>
    </row>
    <row r="903" spans="1:8" ht="17.100000000000001" customHeight="1" x14ac:dyDescent="0.25">
      <c r="A903" s="199"/>
      <c r="B903" s="225" t="s">
        <v>61</v>
      </c>
      <c r="C903" s="212">
        <v>0.01</v>
      </c>
      <c r="D903" s="199"/>
      <c r="E903" s="210"/>
      <c r="F903" s="199"/>
      <c r="G903" s="218">
        <f>ROUND((H898*C903),2)</f>
        <v>414.58</v>
      </c>
      <c r="H903" s="370"/>
    </row>
    <row r="904" spans="1:8" ht="17.100000000000001" customHeight="1" x14ac:dyDescent="0.25">
      <c r="A904" s="199"/>
      <c r="B904" s="225" t="s">
        <v>62</v>
      </c>
      <c r="C904" s="212">
        <v>0.03</v>
      </c>
      <c r="D904" s="199"/>
      <c r="E904" s="210"/>
      <c r="F904" s="199"/>
      <c r="G904" s="218">
        <f>ROUND((H898*C904),2)</f>
        <v>1243.75</v>
      </c>
      <c r="H904" s="370"/>
    </row>
    <row r="905" spans="1:8" ht="17.100000000000001" customHeight="1" x14ac:dyDescent="0.25">
      <c r="A905" s="247"/>
      <c r="D905" s="215" t="s">
        <v>63</v>
      </c>
      <c r="E905" s="216"/>
      <c r="F905" s="216"/>
      <c r="G905" s="216"/>
      <c r="H905" s="370">
        <f>SUM(G901:G904)</f>
        <v>13266.7</v>
      </c>
    </row>
    <row r="906" spans="1:8" ht="17.100000000000001" customHeight="1" x14ac:dyDescent="0.25">
      <c r="A906" s="247"/>
      <c r="E906" s="208"/>
      <c r="F906" s="208"/>
      <c r="G906" s="208"/>
      <c r="H906" s="370"/>
    </row>
    <row r="907" spans="1:8" ht="17.100000000000001" customHeight="1" x14ac:dyDescent="0.25">
      <c r="A907" s="247"/>
      <c r="D907" s="215" t="s">
        <v>64</v>
      </c>
      <c r="E907" s="216"/>
      <c r="F907" s="216"/>
      <c r="G907" s="208"/>
      <c r="H907" s="370">
        <f>H898+H905</f>
        <v>54725.180000000008</v>
      </c>
    </row>
    <row r="908" spans="1:8" ht="17.100000000000001" customHeight="1" x14ac:dyDescent="0.25">
      <c r="A908" s="247"/>
      <c r="D908" s="215"/>
      <c r="E908" s="216"/>
      <c r="F908" s="216"/>
      <c r="G908" s="208"/>
      <c r="H908" s="370"/>
    </row>
    <row r="909" spans="1:8" ht="17.100000000000001" customHeight="1" x14ac:dyDescent="0.25">
      <c r="A909" s="247"/>
      <c r="E909" s="216"/>
      <c r="F909" s="216"/>
      <c r="G909" s="208"/>
      <c r="H909" s="370"/>
    </row>
    <row r="910" spans="1:8" ht="17.100000000000001" customHeight="1" x14ac:dyDescent="0.25">
      <c r="A910" s="205"/>
      <c r="B910" s="204"/>
      <c r="E910" s="219"/>
      <c r="F910" s="220"/>
      <c r="G910" s="203"/>
      <c r="H910" s="370"/>
    </row>
    <row r="911" spans="1:8" ht="17.100000000000001" customHeight="1" x14ac:dyDescent="0.25">
      <c r="A911" s="249" t="str">
        <f>+A853</f>
        <v>ING JHON ALEXANDER ARIAS</v>
      </c>
      <c r="B911" s="217"/>
      <c r="E911" s="223" t="str">
        <f>E853</f>
        <v>ARQ. GUILLERMO YAMID VALLEJOS BENAVIDES</v>
      </c>
      <c r="F911" s="217"/>
      <c r="G911" s="217"/>
      <c r="H911" s="370"/>
    </row>
    <row r="912" spans="1:8" ht="17.100000000000001" customHeight="1" x14ac:dyDescent="0.25">
      <c r="A912" s="250" t="str">
        <f t="shared" ref="A912:A913" si="18">+A854</f>
        <v>APOYO PROFESIONAL SPOPM</v>
      </c>
      <c r="B912" s="217"/>
      <c r="E912" s="223" t="str">
        <f>E854</f>
        <v>SECRETARIO DE PLANEACION Y OBRAS PUBLICAS</v>
      </c>
      <c r="F912" s="217"/>
      <c r="G912" s="217"/>
      <c r="H912" s="370"/>
    </row>
    <row r="913" spans="1:8" ht="17.100000000000001" customHeight="1" x14ac:dyDescent="0.25">
      <c r="A913" s="250" t="str">
        <f t="shared" si="18"/>
        <v>MP 111037-0703225 NRÑ</v>
      </c>
      <c r="B913" s="580"/>
      <c r="C913" s="579"/>
      <c r="D913" s="579"/>
      <c r="E913" s="582" t="str">
        <f>E855</f>
        <v>SAN MIGUEL - PUTUMAYO</v>
      </c>
      <c r="F913" s="580"/>
      <c r="G913" s="580"/>
      <c r="H913" s="516"/>
    </row>
    <row r="916" spans="1:8" ht="17.100000000000001" customHeight="1" x14ac:dyDescent="0.3">
      <c r="A916" s="705"/>
      <c r="B916" s="706"/>
      <c r="C916" s="638" t="s">
        <v>224</v>
      </c>
      <c r="D916" s="625" t="s">
        <v>225</v>
      </c>
      <c r="E916" s="626"/>
      <c r="F916" s="275">
        <v>103</v>
      </c>
      <c r="G916" s="753"/>
      <c r="H916" s="754"/>
    </row>
    <row r="917" spans="1:8" ht="17.100000000000001" customHeight="1" x14ac:dyDescent="0.25">
      <c r="A917" s="707"/>
      <c r="B917" s="708"/>
      <c r="C917" s="639"/>
      <c r="D917" s="634" t="s">
        <v>195</v>
      </c>
      <c r="E917" s="635"/>
      <c r="F917" s="712">
        <v>51</v>
      </c>
      <c r="G917" s="755"/>
      <c r="H917" s="756"/>
    </row>
    <row r="918" spans="1:8" ht="17.100000000000001" customHeight="1" x14ac:dyDescent="0.25">
      <c r="A918" s="707"/>
      <c r="B918" s="708"/>
      <c r="C918" s="307" t="s">
        <v>196</v>
      </c>
      <c r="D918" s="636"/>
      <c r="E918" s="637"/>
      <c r="F918" s="713"/>
      <c r="G918" s="755"/>
      <c r="H918" s="756"/>
    </row>
    <row r="919" spans="1:8" ht="17.100000000000001" customHeight="1" x14ac:dyDescent="0.25">
      <c r="A919" s="707"/>
      <c r="B919" s="708"/>
      <c r="C919" s="308" t="s">
        <v>197</v>
      </c>
      <c r="D919" s="640" t="s">
        <v>198</v>
      </c>
      <c r="E919" s="641"/>
      <c r="F919" s="309">
        <v>1</v>
      </c>
      <c r="G919" s="755"/>
      <c r="H919" s="756"/>
    </row>
    <row r="920" spans="1:8" ht="24.6" customHeight="1" x14ac:dyDescent="0.25">
      <c r="A920" s="707"/>
      <c r="B920" s="708"/>
      <c r="C920" s="714" t="s">
        <v>199</v>
      </c>
      <c r="D920" s="716" t="s">
        <v>200</v>
      </c>
      <c r="E920" s="717"/>
      <c r="F920" s="307" t="s">
        <v>201</v>
      </c>
      <c r="G920" s="755"/>
      <c r="H920" s="756"/>
    </row>
    <row r="921" spans="1:8" ht="17.100000000000001" customHeight="1" x14ac:dyDescent="0.25">
      <c r="A921" s="709"/>
      <c r="B921" s="710"/>
      <c r="C921" s="715"/>
      <c r="D921" s="718"/>
      <c r="E921" s="719"/>
      <c r="F921" s="310">
        <v>44216</v>
      </c>
      <c r="G921" s="757"/>
      <c r="H921" s="758"/>
    </row>
    <row r="922" spans="1:8" ht="17.100000000000001" customHeight="1" x14ac:dyDescent="0.25">
      <c r="A922" s="759"/>
      <c r="B922" s="760"/>
      <c r="C922" s="760"/>
      <c r="D922" s="760"/>
      <c r="E922" s="760"/>
      <c r="F922" s="760"/>
      <c r="G922" s="760"/>
      <c r="H922" s="761"/>
    </row>
    <row r="923" spans="1:8" ht="24.75" customHeight="1" x14ac:dyDescent="0.25">
      <c r="A923" s="720" t="str">
        <f>A865</f>
        <v>ADECUACION Y MEJORAMIENTO DE AULAS ESCOLARES UBICADA EN LA INSTITUCION EDUCATIVA TECNICO COMERCIAL LA DORADA SEDE ESCUELA CENTRAL DEL MUNICIPIO DE SAN MIGUEL PUTUMAYO</v>
      </c>
      <c r="B923" s="721"/>
      <c r="C923" s="721"/>
      <c r="D923" s="721"/>
      <c r="E923" s="721"/>
      <c r="F923" s="721"/>
      <c r="G923" s="721"/>
      <c r="H923" s="722"/>
    </row>
    <row r="924" spans="1:8" ht="43.5" customHeight="1" thickBot="1" x14ac:dyDescent="0.3">
      <c r="A924" s="720"/>
      <c r="B924" s="721"/>
      <c r="C924" s="721"/>
      <c r="D924" s="721"/>
      <c r="E924" s="721"/>
      <c r="F924" s="721"/>
      <c r="G924" s="721"/>
      <c r="H924" s="722"/>
    </row>
    <row r="925" spans="1:8" ht="17.100000000000001" customHeight="1" thickBot="1" x14ac:dyDescent="0.3">
      <c r="A925" s="351">
        <f>Presupuesto!A35</f>
        <v>3.2</v>
      </c>
      <c r="B925" s="732" t="str">
        <f>Presupuesto!B35</f>
        <v>SUMINISTRO E INSTALACIÓN DE CERAMICA PISO GENERAL (INCLUYE ALISTADO)</v>
      </c>
      <c r="C925" s="733"/>
      <c r="D925" s="733"/>
      <c r="E925" s="733"/>
      <c r="F925" s="734"/>
      <c r="G925" s="352" t="s">
        <v>28</v>
      </c>
      <c r="H925" s="452" t="str">
        <f>Presupuesto!D35</f>
        <v>M2</v>
      </c>
    </row>
    <row r="926" spans="1:8" ht="17.100000000000001" customHeight="1" x14ac:dyDescent="0.25">
      <c r="A926" s="247"/>
      <c r="H926" s="244"/>
    </row>
    <row r="927" spans="1:8" ht="17.100000000000001" customHeight="1" x14ac:dyDescent="0.25">
      <c r="A927" s="206" t="s">
        <v>29</v>
      </c>
      <c r="B927" s="764" t="s">
        <v>30</v>
      </c>
      <c r="C927" s="765"/>
      <c r="D927" s="765"/>
      <c r="E927" s="765"/>
      <c r="F927" s="765"/>
      <c r="G927" s="766"/>
      <c r="H927" s="244"/>
    </row>
    <row r="928" spans="1:8" ht="17.100000000000001" customHeight="1" x14ac:dyDescent="0.25">
      <c r="A928" s="225"/>
      <c r="B928" s="735" t="s">
        <v>31</v>
      </c>
      <c r="C928" s="736"/>
      <c r="D928" s="225" t="s">
        <v>32</v>
      </c>
      <c r="E928" s="225" t="s">
        <v>33</v>
      </c>
      <c r="F928" s="225" t="s">
        <v>34</v>
      </c>
      <c r="G928" s="225" t="s">
        <v>35</v>
      </c>
      <c r="H928" s="244"/>
    </row>
    <row r="929" spans="1:8" ht="17.100000000000001" customHeight="1" x14ac:dyDescent="0.25">
      <c r="A929" s="199"/>
      <c r="B929" s="735" t="s">
        <v>67</v>
      </c>
      <c r="C929" s="736"/>
      <c r="D929" s="199"/>
      <c r="E929" s="207"/>
      <c r="F929" s="207">
        <v>0.1</v>
      </c>
      <c r="G929" s="218">
        <f>H946*F929</f>
        <v>3022.727272727273</v>
      </c>
      <c r="H929" s="245"/>
    </row>
    <row r="930" spans="1:8" ht="17.100000000000001" customHeight="1" x14ac:dyDescent="0.25">
      <c r="A930" s="199"/>
      <c r="B930" s="735"/>
      <c r="C930" s="736"/>
      <c r="D930" s="199"/>
      <c r="E930" s="207"/>
      <c r="F930" s="207"/>
      <c r="G930" s="207"/>
      <c r="H930" s="245"/>
    </row>
    <row r="931" spans="1:8" ht="17.100000000000001" customHeight="1" x14ac:dyDescent="0.25">
      <c r="A931" s="199"/>
      <c r="B931" s="735"/>
      <c r="C931" s="736"/>
      <c r="D931" s="199"/>
      <c r="E931" s="207"/>
      <c r="F931" s="207"/>
      <c r="G931" s="207"/>
      <c r="H931" s="228"/>
    </row>
    <row r="932" spans="1:8" ht="17.100000000000001" customHeight="1" x14ac:dyDescent="0.25">
      <c r="A932" s="248"/>
      <c r="E932" s="208" t="s">
        <v>36</v>
      </c>
      <c r="F932" s="208"/>
      <c r="G932" s="208"/>
      <c r="H932" s="453">
        <f>SUM(G929:G931)</f>
        <v>3022.727272727273</v>
      </c>
    </row>
    <row r="933" spans="1:8" ht="17.100000000000001" customHeight="1" x14ac:dyDescent="0.25">
      <c r="A933" s="206" t="s">
        <v>37</v>
      </c>
      <c r="B933" s="764" t="s">
        <v>38</v>
      </c>
      <c r="C933" s="765"/>
      <c r="D933" s="765"/>
      <c r="E933" s="765"/>
      <c r="F933" s="765"/>
      <c r="G933" s="766"/>
      <c r="H933" s="228"/>
    </row>
    <row r="934" spans="1:8" ht="17.100000000000001" customHeight="1" x14ac:dyDescent="0.25">
      <c r="A934" s="225"/>
      <c r="B934" s="735" t="s">
        <v>31</v>
      </c>
      <c r="C934" s="736"/>
      <c r="D934" s="199" t="s">
        <v>12</v>
      </c>
      <c r="E934" s="209" t="s">
        <v>39</v>
      </c>
      <c r="F934" s="209" t="s">
        <v>40</v>
      </c>
      <c r="G934" s="209" t="s">
        <v>35</v>
      </c>
      <c r="H934" s="228"/>
    </row>
    <row r="935" spans="1:8" ht="17.100000000000001" customHeight="1" x14ac:dyDescent="0.25">
      <c r="A935" s="199"/>
      <c r="B935" s="739" t="s">
        <v>357</v>
      </c>
      <c r="C935" s="740"/>
      <c r="D935" s="365" t="s">
        <v>242</v>
      </c>
      <c r="E935" s="367">
        <v>0.1</v>
      </c>
      <c r="F935" s="368">
        <v>7500</v>
      </c>
      <c r="G935" s="207">
        <f>E935*F935</f>
        <v>750</v>
      </c>
      <c r="H935" s="228"/>
    </row>
    <row r="936" spans="1:8" ht="17.100000000000001" customHeight="1" x14ac:dyDescent="0.25">
      <c r="A936" s="199"/>
      <c r="B936" s="739" t="s">
        <v>360</v>
      </c>
      <c r="C936" s="740"/>
      <c r="D936" s="365" t="s">
        <v>236</v>
      </c>
      <c r="E936" s="367">
        <v>1.05</v>
      </c>
      <c r="F936" s="368">
        <v>65000</v>
      </c>
      <c r="G936" s="207">
        <f>E936*F936</f>
        <v>68250</v>
      </c>
      <c r="H936" s="228"/>
    </row>
    <row r="937" spans="1:8" ht="17.100000000000001" customHeight="1" x14ac:dyDescent="0.25">
      <c r="A937" s="199"/>
      <c r="B937" s="739" t="s">
        <v>358</v>
      </c>
      <c r="C937" s="740"/>
      <c r="D937" s="365" t="s">
        <v>242</v>
      </c>
      <c r="E937" s="367">
        <v>8</v>
      </c>
      <c r="F937" s="368">
        <v>2000</v>
      </c>
      <c r="G937" s="207">
        <f>E937*F937</f>
        <v>16000</v>
      </c>
      <c r="H937" s="228"/>
    </row>
    <row r="938" spans="1:8" ht="17.100000000000001" customHeight="1" x14ac:dyDescent="0.25">
      <c r="A938" s="199"/>
      <c r="B938" s="739"/>
      <c r="C938" s="740"/>
      <c r="D938" s="366"/>
      <c r="E938" s="367"/>
      <c r="F938" s="368"/>
      <c r="G938" s="207"/>
      <c r="H938" s="228"/>
    </row>
    <row r="939" spans="1:8" ht="17.100000000000001" customHeight="1" x14ac:dyDescent="0.25">
      <c r="A939" s="199"/>
      <c r="B939" s="746"/>
      <c r="C939" s="747"/>
      <c r="D939" s="199"/>
      <c r="E939" s="207"/>
      <c r="F939" s="207"/>
      <c r="G939" s="207"/>
      <c r="H939" s="228"/>
    </row>
    <row r="940" spans="1:8" ht="17.100000000000001" customHeight="1" x14ac:dyDescent="0.25">
      <c r="A940" s="248" t="s">
        <v>41</v>
      </c>
      <c r="E940" s="208" t="s">
        <v>42</v>
      </c>
      <c r="F940" s="208"/>
      <c r="G940" s="208"/>
      <c r="H940" s="370">
        <f>(SUM(G935:G938))</f>
        <v>85000</v>
      </c>
    </row>
    <row r="941" spans="1:8" ht="17.100000000000001" customHeight="1" x14ac:dyDescent="0.25">
      <c r="A941" s="206" t="s">
        <v>43</v>
      </c>
      <c r="B941" s="764" t="s">
        <v>44</v>
      </c>
      <c r="C941" s="765"/>
      <c r="D941" s="765"/>
      <c r="E941" s="765"/>
      <c r="F941" s="765"/>
      <c r="G941" s="766"/>
      <c r="H941" s="228"/>
    </row>
    <row r="942" spans="1:8" ht="17.100000000000001" customHeight="1" x14ac:dyDescent="0.25">
      <c r="A942" s="199" t="s">
        <v>45</v>
      </c>
      <c r="B942" s="225" t="s">
        <v>31</v>
      </c>
      <c r="C942" s="225" t="s">
        <v>46</v>
      </c>
      <c r="D942" s="225" t="s">
        <v>47</v>
      </c>
      <c r="E942" s="209" t="s">
        <v>48</v>
      </c>
      <c r="F942" s="207" t="s">
        <v>34</v>
      </c>
      <c r="G942" s="207" t="s">
        <v>35</v>
      </c>
      <c r="H942" s="228"/>
    </row>
    <row r="943" spans="1:8" ht="17.100000000000001" customHeight="1" x14ac:dyDescent="0.25">
      <c r="A943" s="199">
        <v>1</v>
      </c>
      <c r="B943" s="199" t="s">
        <v>189</v>
      </c>
      <c r="C943" s="211">
        <v>70000</v>
      </c>
      <c r="D943" s="212">
        <v>0.75</v>
      </c>
      <c r="E943" s="210">
        <f>+(A943*C943)+(A943*C943*D943)</f>
        <v>122500</v>
      </c>
      <c r="F943" s="213">
        <v>11</v>
      </c>
      <c r="G943" s="218">
        <f>(E943)/(F943)</f>
        <v>11136.363636363636</v>
      </c>
      <c r="H943" s="228"/>
    </row>
    <row r="944" spans="1:8" ht="17.100000000000001" customHeight="1" x14ac:dyDescent="0.25">
      <c r="A944" s="199">
        <v>1</v>
      </c>
      <c r="B944" s="199" t="s">
        <v>233</v>
      </c>
      <c r="C944" s="211">
        <v>120000</v>
      </c>
      <c r="D944" s="212">
        <v>0.75</v>
      </c>
      <c r="E944" s="210">
        <f>+(A944*C944)+(A944*C944*D944)</f>
        <v>210000</v>
      </c>
      <c r="F944" s="213">
        <v>11</v>
      </c>
      <c r="G944" s="218">
        <f>(E944)/(F944)</f>
        <v>19090.909090909092</v>
      </c>
      <c r="H944" s="228"/>
    </row>
    <row r="945" spans="1:8" ht="17.100000000000001" customHeight="1" x14ac:dyDescent="0.25">
      <c r="A945" s="199"/>
      <c r="B945" s="199"/>
      <c r="C945" s="199"/>
      <c r="D945" s="199"/>
      <c r="E945" s="207"/>
      <c r="F945" s="207"/>
      <c r="G945" s="207"/>
      <c r="H945" s="228"/>
    </row>
    <row r="946" spans="1:8" ht="17.100000000000001" customHeight="1" x14ac:dyDescent="0.25">
      <c r="A946" s="248"/>
      <c r="E946" s="208" t="s">
        <v>50</v>
      </c>
      <c r="F946" s="208"/>
      <c r="G946" s="208"/>
      <c r="H946" s="453">
        <f>SUM(G943)+(G944)</f>
        <v>30227.272727272728</v>
      </c>
    </row>
    <row r="947" spans="1:8" ht="17.100000000000001" customHeight="1" x14ac:dyDescent="0.25">
      <c r="A947" s="206" t="s">
        <v>51</v>
      </c>
      <c r="B947" s="764" t="s">
        <v>18</v>
      </c>
      <c r="C947" s="765"/>
      <c r="D947" s="765"/>
      <c r="E947" s="765"/>
      <c r="F947" s="765"/>
      <c r="G947" s="766"/>
      <c r="H947" s="228"/>
    </row>
    <row r="948" spans="1:8" ht="17.100000000000001" customHeight="1" x14ac:dyDescent="0.25">
      <c r="A948" s="199"/>
      <c r="B948" s="199" t="s">
        <v>31</v>
      </c>
      <c r="C948" s="225" t="s">
        <v>12</v>
      </c>
      <c r="D948" s="225" t="s">
        <v>13</v>
      </c>
      <c r="E948" s="225" t="s">
        <v>52</v>
      </c>
      <c r="F948" s="225"/>
      <c r="G948" s="207" t="s">
        <v>53</v>
      </c>
      <c r="H948" s="228"/>
    </row>
    <row r="949" spans="1:8" ht="17.100000000000001" customHeight="1" x14ac:dyDescent="0.25">
      <c r="A949" s="199"/>
      <c r="B949" s="199"/>
      <c r="C949" s="214"/>
      <c r="D949" s="199"/>
      <c r="E949" s="207"/>
      <c r="F949" s="207"/>
      <c r="G949" s="207"/>
      <c r="H949" s="228"/>
    </row>
    <row r="950" spans="1:8" ht="17.100000000000001" customHeight="1" x14ac:dyDescent="0.25">
      <c r="A950" s="199"/>
      <c r="B950" s="199"/>
      <c r="C950" s="210"/>
      <c r="D950" s="199"/>
      <c r="E950" s="207"/>
      <c r="F950" s="207"/>
      <c r="G950" s="207"/>
      <c r="H950" s="228"/>
    </row>
    <row r="951" spans="1:8" ht="17.100000000000001" customHeight="1" x14ac:dyDescent="0.25">
      <c r="A951" s="199"/>
      <c r="B951" s="199"/>
      <c r="C951" s="199"/>
      <c r="D951" s="199"/>
      <c r="E951" s="207"/>
      <c r="F951" s="207"/>
      <c r="G951" s="207"/>
      <c r="H951" s="228"/>
    </row>
    <row r="952" spans="1:8" ht="17.100000000000001" customHeight="1" x14ac:dyDescent="0.25">
      <c r="A952" s="248"/>
      <c r="E952" s="208" t="s">
        <v>50</v>
      </c>
      <c r="F952" s="208"/>
      <c r="G952" s="208"/>
      <c r="H952" s="228">
        <f>ROUND(SUM(G949)+(G950),0)</f>
        <v>0</v>
      </c>
    </row>
    <row r="953" spans="1:8" ht="17.100000000000001" customHeight="1" x14ac:dyDescent="0.25">
      <c r="A953" s="247"/>
      <c r="E953" s="208"/>
      <c r="F953" s="208"/>
      <c r="G953" s="208"/>
      <c r="H953" s="228"/>
    </row>
    <row r="954" spans="1:8" ht="17.100000000000001" customHeight="1" x14ac:dyDescent="0.25">
      <c r="A954" s="247"/>
      <c r="D954" s="215" t="s">
        <v>54</v>
      </c>
      <c r="E954" s="216"/>
      <c r="F954" s="216"/>
      <c r="G954" s="216"/>
      <c r="H954" s="453">
        <f>ROUND(SUM(H932:H953),2)</f>
        <v>118250</v>
      </c>
    </row>
    <row r="955" spans="1:8" ht="17.100000000000001" customHeight="1" x14ac:dyDescent="0.25">
      <c r="A955" s="247"/>
      <c r="E955" s="208"/>
      <c r="F955" s="208"/>
      <c r="G955" s="208"/>
      <c r="H955" s="228"/>
    </row>
    <row r="956" spans="1:8" ht="17.100000000000001" customHeight="1" x14ac:dyDescent="0.25">
      <c r="A956" s="206" t="s">
        <v>55</v>
      </c>
      <c r="B956" s="764" t="s">
        <v>56</v>
      </c>
      <c r="C956" s="765"/>
      <c r="D956" s="765"/>
      <c r="E956" s="765"/>
      <c r="F956" s="765"/>
      <c r="G956" s="766"/>
      <c r="H956" s="228"/>
    </row>
    <row r="957" spans="1:8" ht="17.100000000000001" customHeight="1" x14ac:dyDescent="0.25">
      <c r="A957" s="225"/>
      <c r="B957" s="225" t="s">
        <v>31</v>
      </c>
      <c r="C957" s="225" t="s">
        <v>57</v>
      </c>
      <c r="D957" s="199" t="s">
        <v>58</v>
      </c>
      <c r="E957" s="207"/>
      <c r="F957" s="207" t="s">
        <v>59</v>
      </c>
      <c r="G957" s="207"/>
      <c r="H957" s="228"/>
    </row>
    <row r="958" spans="1:8" ht="17.100000000000001" customHeight="1" x14ac:dyDescent="0.25">
      <c r="A958" s="199"/>
      <c r="B958" s="225" t="s">
        <v>60</v>
      </c>
      <c r="C958" s="212">
        <v>0.28000000000000003</v>
      </c>
      <c r="D958" s="199"/>
      <c r="E958" s="210"/>
      <c r="F958" s="199"/>
      <c r="G958" s="218">
        <f>+H954*C958</f>
        <v>33110</v>
      </c>
      <c r="H958" s="228"/>
    </row>
    <row r="959" spans="1:8" ht="17.100000000000001" customHeight="1" x14ac:dyDescent="0.25">
      <c r="A959" s="199"/>
      <c r="B959" s="225" t="s">
        <v>61</v>
      </c>
      <c r="C959" s="212">
        <v>0.01</v>
      </c>
      <c r="D959" s="199"/>
      <c r="E959" s="210"/>
      <c r="F959" s="199"/>
      <c r="G959" s="218">
        <f>+H954*C959</f>
        <v>1182.5</v>
      </c>
      <c r="H959" s="228"/>
    </row>
    <row r="960" spans="1:8" ht="17.100000000000001" customHeight="1" x14ac:dyDescent="0.25">
      <c r="A960" s="199"/>
      <c r="B960" s="225" t="s">
        <v>62</v>
      </c>
      <c r="C960" s="212">
        <v>0.03</v>
      </c>
      <c r="D960" s="199"/>
      <c r="E960" s="210"/>
      <c r="F960" s="199"/>
      <c r="G960" s="218">
        <f>+H954*C960</f>
        <v>3547.5</v>
      </c>
      <c r="H960" s="228"/>
    </row>
    <row r="961" spans="1:8" ht="17.100000000000001" customHeight="1" x14ac:dyDescent="0.25">
      <c r="A961" s="247"/>
      <c r="D961" s="215" t="s">
        <v>63</v>
      </c>
      <c r="E961" s="216"/>
      <c r="F961" s="216"/>
      <c r="G961" s="216"/>
      <c r="H961" s="453">
        <f>SUM(G957:G960)</f>
        <v>37840</v>
      </c>
    </row>
    <row r="962" spans="1:8" ht="17.100000000000001" customHeight="1" x14ac:dyDescent="0.25">
      <c r="A962" s="247"/>
      <c r="E962" s="208"/>
      <c r="F962" s="208"/>
      <c r="G962" s="208"/>
      <c r="H962" s="228"/>
    </row>
    <row r="963" spans="1:8" ht="17.100000000000001" customHeight="1" x14ac:dyDescent="0.25">
      <c r="A963" s="247"/>
      <c r="D963" s="215" t="s">
        <v>64</v>
      </c>
      <c r="E963" s="216"/>
      <c r="F963" s="216"/>
      <c r="G963" s="208"/>
      <c r="H963" s="453">
        <f>H954+H961</f>
        <v>156090</v>
      </c>
    </row>
    <row r="964" spans="1:8" ht="17.100000000000001" customHeight="1" x14ac:dyDescent="0.25">
      <c r="A964" s="247"/>
      <c r="D964" s="215"/>
      <c r="E964" s="216"/>
      <c r="F964" s="216"/>
      <c r="G964" s="208"/>
      <c r="H964" s="228"/>
    </row>
    <row r="965" spans="1:8" ht="17.100000000000001" customHeight="1" x14ac:dyDescent="0.25">
      <c r="A965" s="247"/>
      <c r="E965" s="216"/>
      <c r="F965" s="216"/>
      <c r="G965" s="208"/>
      <c r="H965" s="228"/>
    </row>
    <row r="966" spans="1:8" ht="17.100000000000001" customHeight="1" x14ac:dyDescent="0.25">
      <c r="A966" s="205"/>
      <c r="B966" s="204"/>
      <c r="E966" s="219"/>
      <c r="F966" s="220"/>
      <c r="G966" s="203"/>
      <c r="H966" s="228"/>
    </row>
    <row r="967" spans="1:8" ht="17.100000000000001" customHeight="1" x14ac:dyDescent="0.25">
      <c r="A967" s="249" t="str">
        <f>+A911</f>
        <v>ING JHON ALEXANDER ARIAS</v>
      </c>
      <c r="B967" s="217"/>
      <c r="E967" s="223" t="str">
        <f>E911</f>
        <v>ARQ. GUILLERMO YAMID VALLEJOS BENAVIDES</v>
      </c>
      <c r="F967" s="217"/>
      <c r="G967" s="217"/>
      <c r="H967" s="455"/>
    </row>
    <row r="968" spans="1:8" ht="17.100000000000001" customHeight="1" x14ac:dyDescent="0.25">
      <c r="A968" s="250" t="str">
        <f>+A912</f>
        <v>APOYO PROFESIONAL SPOPM</v>
      </c>
      <c r="B968" s="217"/>
      <c r="E968" s="217" t="str">
        <f>E912</f>
        <v>SECRETARIO DE PLANEACION Y OBRAS PUBLICAS</v>
      </c>
      <c r="F968" s="217"/>
      <c r="G968" s="217"/>
      <c r="H968" s="455"/>
    </row>
    <row r="969" spans="1:8" ht="17.100000000000001" customHeight="1" x14ac:dyDescent="0.25">
      <c r="A969" s="250" t="str">
        <f>+A913</f>
        <v>MP 111037-0703225 NRÑ</v>
      </c>
      <c r="B969" s="251"/>
      <c r="C969" s="204"/>
      <c r="D969" s="204"/>
      <c r="E969" s="217" t="str">
        <f>E913</f>
        <v>SAN MIGUEL - PUTUMAYO</v>
      </c>
      <c r="F969" s="251"/>
      <c r="G969" s="251"/>
      <c r="H969" s="456"/>
    </row>
    <row r="971" spans="1:8" ht="17.100000000000001" customHeight="1" x14ac:dyDescent="0.3">
      <c r="A971" s="705"/>
      <c r="B971" s="706"/>
      <c r="C971" s="638" t="s">
        <v>224</v>
      </c>
      <c r="D971" s="625" t="s">
        <v>225</v>
      </c>
      <c r="E971" s="626"/>
      <c r="F971" s="275">
        <v>103</v>
      </c>
      <c r="G971" s="753"/>
      <c r="H971" s="754"/>
    </row>
    <row r="972" spans="1:8" ht="17.100000000000001" customHeight="1" x14ac:dyDescent="0.25">
      <c r="A972" s="707"/>
      <c r="B972" s="708"/>
      <c r="C972" s="639"/>
      <c r="D972" s="634" t="s">
        <v>195</v>
      </c>
      <c r="E972" s="635"/>
      <c r="F972" s="712">
        <v>51</v>
      </c>
      <c r="G972" s="755"/>
      <c r="H972" s="756"/>
    </row>
    <row r="973" spans="1:8" ht="17.100000000000001" customHeight="1" x14ac:dyDescent="0.25">
      <c r="A973" s="707"/>
      <c r="B973" s="708"/>
      <c r="C973" s="307" t="s">
        <v>196</v>
      </c>
      <c r="D973" s="636"/>
      <c r="E973" s="637"/>
      <c r="F973" s="713"/>
      <c r="G973" s="755"/>
      <c r="H973" s="756"/>
    </row>
    <row r="974" spans="1:8" ht="17.100000000000001" customHeight="1" x14ac:dyDescent="0.25">
      <c r="A974" s="707"/>
      <c r="B974" s="708"/>
      <c r="C974" s="308" t="s">
        <v>197</v>
      </c>
      <c r="D974" s="640" t="s">
        <v>198</v>
      </c>
      <c r="E974" s="641"/>
      <c r="F974" s="309">
        <v>1</v>
      </c>
      <c r="G974" s="755"/>
      <c r="H974" s="756"/>
    </row>
    <row r="975" spans="1:8" ht="27.6" customHeight="1" x14ac:dyDescent="0.25">
      <c r="A975" s="707"/>
      <c r="B975" s="708"/>
      <c r="C975" s="714" t="s">
        <v>199</v>
      </c>
      <c r="D975" s="716" t="s">
        <v>200</v>
      </c>
      <c r="E975" s="717"/>
      <c r="F975" s="307" t="s">
        <v>201</v>
      </c>
      <c r="G975" s="755"/>
      <c r="H975" s="756"/>
    </row>
    <row r="976" spans="1:8" ht="17.100000000000001" customHeight="1" x14ac:dyDescent="0.25">
      <c r="A976" s="709"/>
      <c r="B976" s="710"/>
      <c r="C976" s="715"/>
      <c r="D976" s="718"/>
      <c r="E976" s="719"/>
      <c r="F976" s="310">
        <v>44216</v>
      </c>
      <c r="G976" s="757"/>
      <c r="H976" s="758"/>
    </row>
    <row r="977" spans="1:8" ht="17.100000000000001" customHeight="1" x14ac:dyDescent="0.25">
      <c r="A977" s="759"/>
      <c r="B977" s="760"/>
      <c r="C977" s="760"/>
      <c r="D977" s="760"/>
      <c r="E977" s="760"/>
      <c r="F977" s="760"/>
      <c r="G977" s="760"/>
      <c r="H977" s="761"/>
    </row>
    <row r="978" spans="1:8" ht="24.75" customHeight="1" x14ac:dyDescent="0.25">
      <c r="A978" s="720" t="str">
        <f>A923</f>
        <v>ADECUACION Y MEJORAMIENTO DE AULAS ESCOLARES UBICADA EN LA INSTITUCION EDUCATIVA TECNICO COMERCIAL LA DORADA SEDE ESCUELA CENTRAL DEL MUNICIPIO DE SAN MIGUEL PUTUMAYO</v>
      </c>
      <c r="B978" s="721"/>
      <c r="C978" s="721"/>
      <c r="D978" s="721"/>
      <c r="E978" s="721"/>
      <c r="F978" s="721"/>
      <c r="G978" s="721"/>
      <c r="H978" s="722"/>
    </row>
    <row r="979" spans="1:8" ht="43.5" customHeight="1" thickBot="1" x14ac:dyDescent="0.3">
      <c r="A979" s="720"/>
      <c r="B979" s="721"/>
      <c r="C979" s="721"/>
      <c r="D979" s="721"/>
      <c r="E979" s="721"/>
      <c r="F979" s="721"/>
      <c r="G979" s="721"/>
      <c r="H979" s="722"/>
    </row>
    <row r="980" spans="1:8" ht="17.100000000000001" customHeight="1" thickBot="1" x14ac:dyDescent="0.3">
      <c r="A980" s="351">
        <f>Presupuesto!A36</f>
        <v>3.3</v>
      </c>
      <c r="B980" s="732" t="str">
        <f>Presupuesto!B36</f>
        <v>GUARDAESCOBA EN CERAMICA</v>
      </c>
      <c r="C980" s="733"/>
      <c r="D980" s="733"/>
      <c r="E980" s="733"/>
      <c r="F980" s="734"/>
      <c r="G980" s="352" t="s">
        <v>28</v>
      </c>
      <c r="H980" s="452" t="str">
        <f>Presupuesto!D36</f>
        <v>ML</v>
      </c>
    </row>
    <row r="981" spans="1:8" ht="17.100000000000001" customHeight="1" x14ac:dyDescent="0.25">
      <c r="A981" s="247"/>
      <c r="H981" s="244"/>
    </row>
    <row r="982" spans="1:8" ht="17.100000000000001" customHeight="1" x14ac:dyDescent="0.25">
      <c r="A982" s="206" t="s">
        <v>29</v>
      </c>
      <c r="B982" s="764" t="s">
        <v>30</v>
      </c>
      <c r="C982" s="765"/>
      <c r="D982" s="765"/>
      <c r="E982" s="765"/>
      <c r="F982" s="765"/>
      <c r="G982" s="766"/>
      <c r="H982" s="244"/>
    </row>
    <row r="983" spans="1:8" ht="17.100000000000001" customHeight="1" x14ac:dyDescent="0.25">
      <c r="A983" s="225"/>
      <c r="B983" s="735" t="s">
        <v>31</v>
      </c>
      <c r="C983" s="736"/>
      <c r="D983" s="225" t="s">
        <v>32</v>
      </c>
      <c r="E983" s="225" t="s">
        <v>33</v>
      </c>
      <c r="F983" s="225" t="s">
        <v>34</v>
      </c>
      <c r="G983" s="225" t="s">
        <v>35</v>
      </c>
      <c r="H983" s="244"/>
    </row>
    <row r="984" spans="1:8" ht="17.100000000000001" customHeight="1" x14ac:dyDescent="0.25">
      <c r="A984" s="199"/>
      <c r="B984" s="735" t="s">
        <v>67</v>
      </c>
      <c r="C984" s="736"/>
      <c r="D984" s="199"/>
      <c r="E984" s="207"/>
      <c r="F984" s="207">
        <v>0.1</v>
      </c>
      <c r="G984" s="218">
        <f>H1001*F984</f>
        <v>875</v>
      </c>
      <c r="H984" s="245"/>
    </row>
    <row r="985" spans="1:8" ht="17.100000000000001" customHeight="1" x14ac:dyDescent="0.25">
      <c r="A985" s="199"/>
      <c r="B985" s="735"/>
      <c r="C985" s="736"/>
      <c r="D985" s="199"/>
      <c r="E985" s="207"/>
      <c r="F985" s="207"/>
      <c r="G985" s="207"/>
      <c r="H985" s="245"/>
    </row>
    <row r="986" spans="1:8" ht="17.100000000000001" customHeight="1" x14ac:dyDescent="0.25">
      <c r="A986" s="199"/>
      <c r="B986" s="735"/>
      <c r="C986" s="736"/>
      <c r="D986" s="199"/>
      <c r="E986" s="207"/>
      <c r="F986" s="207"/>
      <c r="G986" s="207"/>
      <c r="H986" s="228"/>
    </row>
    <row r="987" spans="1:8" ht="17.100000000000001" customHeight="1" x14ac:dyDescent="0.25">
      <c r="A987" s="248"/>
      <c r="E987" s="208" t="s">
        <v>36</v>
      </c>
      <c r="F987" s="208"/>
      <c r="G987" s="208"/>
      <c r="H987" s="453">
        <f>SUM(G984:G986)</f>
        <v>875</v>
      </c>
    </row>
    <row r="988" spans="1:8" ht="17.100000000000001" customHeight="1" x14ac:dyDescent="0.25">
      <c r="A988" s="206" t="s">
        <v>37</v>
      </c>
      <c r="B988" s="764" t="s">
        <v>38</v>
      </c>
      <c r="C988" s="765"/>
      <c r="D988" s="765"/>
      <c r="E988" s="765"/>
      <c r="F988" s="765"/>
      <c r="G988" s="766"/>
      <c r="H988" s="228"/>
    </row>
    <row r="989" spans="1:8" ht="17.100000000000001" customHeight="1" x14ac:dyDescent="0.25">
      <c r="A989" s="225"/>
      <c r="B989" s="735" t="s">
        <v>31</v>
      </c>
      <c r="C989" s="736"/>
      <c r="D989" s="199" t="s">
        <v>12</v>
      </c>
      <c r="E989" s="209" t="s">
        <v>39</v>
      </c>
      <c r="F989" s="209" t="s">
        <v>40</v>
      </c>
      <c r="G989" s="209" t="s">
        <v>35</v>
      </c>
      <c r="H989" s="228"/>
    </row>
    <row r="990" spans="1:8" ht="17.100000000000001" customHeight="1" x14ac:dyDescent="0.25">
      <c r="A990" s="199"/>
      <c r="B990" s="739" t="s">
        <v>357</v>
      </c>
      <c r="C990" s="740"/>
      <c r="D990" s="365" t="s">
        <v>242</v>
      </c>
      <c r="E990" s="367">
        <v>0.1</v>
      </c>
      <c r="F990" s="368">
        <v>7500</v>
      </c>
      <c r="G990" s="207">
        <f>E990*F990</f>
        <v>750</v>
      </c>
      <c r="H990" s="228"/>
    </row>
    <row r="991" spans="1:8" ht="17.100000000000001" customHeight="1" x14ac:dyDescent="0.25">
      <c r="A991" s="199"/>
      <c r="B991" s="739" t="s">
        <v>360</v>
      </c>
      <c r="C991" s="740"/>
      <c r="D991" s="365" t="s">
        <v>236</v>
      </c>
      <c r="E991" s="367">
        <v>0.1</v>
      </c>
      <c r="F991" s="368">
        <v>50000</v>
      </c>
      <c r="G991" s="207">
        <f>E991*F991</f>
        <v>5000</v>
      </c>
      <c r="H991" s="228"/>
    </row>
    <row r="992" spans="1:8" ht="17.100000000000001" customHeight="1" x14ac:dyDescent="0.25">
      <c r="A992" s="199"/>
      <c r="B992" s="739" t="s">
        <v>358</v>
      </c>
      <c r="C992" s="740"/>
      <c r="D992" s="365" t="s">
        <v>242</v>
      </c>
      <c r="E992" s="367">
        <v>0.5</v>
      </c>
      <c r="F992" s="368">
        <v>1800</v>
      </c>
      <c r="G992" s="207">
        <f>E992*F992</f>
        <v>900</v>
      </c>
      <c r="H992" s="228"/>
    </row>
    <row r="993" spans="1:8" ht="17.100000000000001" customHeight="1" x14ac:dyDescent="0.25">
      <c r="A993" s="199"/>
      <c r="B993" s="746"/>
      <c r="C993" s="747"/>
      <c r="D993" s="199"/>
      <c r="E993" s="207"/>
      <c r="F993" s="207"/>
      <c r="G993" s="207"/>
      <c r="H993" s="228"/>
    </row>
    <row r="994" spans="1:8" ht="17.100000000000001" customHeight="1" x14ac:dyDescent="0.25">
      <c r="A994" s="199"/>
      <c r="B994" s="746"/>
      <c r="C994" s="747"/>
      <c r="D994" s="199"/>
      <c r="E994" s="207"/>
      <c r="F994" s="207"/>
      <c r="G994" s="207"/>
      <c r="H994" s="228"/>
    </row>
    <row r="995" spans="1:8" ht="17.100000000000001" customHeight="1" x14ac:dyDescent="0.25">
      <c r="A995" s="248" t="s">
        <v>41</v>
      </c>
      <c r="E995" s="208" t="s">
        <v>42</v>
      </c>
      <c r="F995" s="208"/>
      <c r="G995" s="208"/>
      <c r="H995" s="370">
        <f>(SUM(G990:G992))</f>
        <v>6650</v>
      </c>
    </row>
    <row r="996" spans="1:8" ht="17.100000000000001" customHeight="1" x14ac:dyDescent="0.25">
      <c r="A996" s="206" t="s">
        <v>43</v>
      </c>
      <c r="B996" s="764" t="s">
        <v>44</v>
      </c>
      <c r="C996" s="765"/>
      <c r="D996" s="765"/>
      <c r="E996" s="765"/>
      <c r="F996" s="765"/>
      <c r="G996" s="766"/>
      <c r="H996" s="228"/>
    </row>
    <row r="997" spans="1:8" ht="17.100000000000001" customHeight="1" x14ac:dyDescent="0.25">
      <c r="A997" s="199" t="s">
        <v>45</v>
      </c>
      <c r="B997" s="225" t="s">
        <v>31</v>
      </c>
      <c r="C997" s="225" t="s">
        <v>46</v>
      </c>
      <c r="D997" s="225" t="s">
        <v>47</v>
      </c>
      <c r="E997" s="209" t="s">
        <v>48</v>
      </c>
      <c r="F997" s="207" t="s">
        <v>34</v>
      </c>
      <c r="G997" s="207" t="s">
        <v>35</v>
      </c>
      <c r="H997" s="228"/>
    </row>
    <row r="998" spans="1:8" ht="17.100000000000001" customHeight="1" x14ac:dyDescent="0.25">
      <c r="A998" s="199">
        <v>1</v>
      </c>
      <c r="B998" s="199" t="s">
        <v>189</v>
      </c>
      <c r="C998" s="211">
        <v>70000</v>
      </c>
      <c r="D998" s="212">
        <v>0.75</v>
      </c>
      <c r="E998" s="210">
        <f>+(A998*C998)+(A998*C998*D998)</f>
        <v>122500</v>
      </c>
      <c r="F998" s="213">
        <v>38</v>
      </c>
      <c r="G998" s="218">
        <f>(E998)/(F998)</f>
        <v>3223.6842105263158</v>
      </c>
      <c r="H998" s="228"/>
    </row>
    <row r="999" spans="1:8" ht="17.100000000000001" customHeight="1" x14ac:dyDescent="0.25">
      <c r="A999" s="199">
        <v>1</v>
      </c>
      <c r="B999" s="199" t="s">
        <v>233</v>
      </c>
      <c r="C999" s="211">
        <v>120000</v>
      </c>
      <c r="D999" s="212">
        <v>0.75</v>
      </c>
      <c r="E999" s="210">
        <f>+(A999*C999)+(A999*C999*D999)</f>
        <v>210000</v>
      </c>
      <c r="F999" s="213">
        <v>38</v>
      </c>
      <c r="G999" s="218">
        <f>(E999)/(F999)</f>
        <v>5526.3157894736842</v>
      </c>
      <c r="H999" s="228"/>
    </row>
    <row r="1000" spans="1:8" ht="17.100000000000001" customHeight="1" x14ac:dyDescent="0.25">
      <c r="A1000" s="199"/>
      <c r="B1000" s="199"/>
      <c r="C1000" s="199"/>
      <c r="D1000" s="199"/>
      <c r="E1000" s="207"/>
      <c r="F1000" s="207"/>
      <c r="G1000" s="207"/>
      <c r="H1000" s="228"/>
    </row>
    <row r="1001" spans="1:8" ht="17.100000000000001" customHeight="1" x14ac:dyDescent="0.25">
      <c r="A1001" s="248"/>
      <c r="E1001" s="208" t="s">
        <v>50</v>
      </c>
      <c r="F1001" s="208"/>
      <c r="G1001" s="208"/>
      <c r="H1001" s="453">
        <f>SUM(G998)+(G999)</f>
        <v>8750</v>
      </c>
    </row>
    <row r="1002" spans="1:8" ht="17.100000000000001" customHeight="1" x14ac:dyDescent="0.25">
      <c r="A1002" s="206" t="s">
        <v>51</v>
      </c>
      <c r="B1002" s="764" t="s">
        <v>18</v>
      </c>
      <c r="C1002" s="765"/>
      <c r="D1002" s="765"/>
      <c r="E1002" s="765"/>
      <c r="F1002" s="765"/>
      <c r="G1002" s="766"/>
      <c r="H1002" s="228"/>
    </row>
    <row r="1003" spans="1:8" ht="17.100000000000001" customHeight="1" x14ac:dyDescent="0.25">
      <c r="A1003" s="199"/>
      <c r="B1003" s="199" t="s">
        <v>31</v>
      </c>
      <c r="C1003" s="225" t="s">
        <v>12</v>
      </c>
      <c r="D1003" s="225" t="s">
        <v>13</v>
      </c>
      <c r="E1003" s="225" t="s">
        <v>52</v>
      </c>
      <c r="F1003" s="225"/>
      <c r="G1003" s="207" t="s">
        <v>53</v>
      </c>
      <c r="H1003" s="228"/>
    </row>
    <row r="1004" spans="1:8" ht="17.100000000000001" customHeight="1" x14ac:dyDescent="0.25">
      <c r="A1004" s="199"/>
      <c r="B1004" s="199"/>
      <c r="C1004" s="214"/>
      <c r="D1004" s="199"/>
      <c r="E1004" s="207"/>
      <c r="F1004" s="207"/>
      <c r="G1004" s="207"/>
      <c r="H1004" s="228"/>
    </row>
    <row r="1005" spans="1:8" ht="17.100000000000001" customHeight="1" x14ac:dyDescent="0.25">
      <c r="A1005" s="199"/>
      <c r="B1005" s="199"/>
      <c r="C1005" s="210"/>
      <c r="D1005" s="199"/>
      <c r="E1005" s="207"/>
      <c r="F1005" s="207"/>
      <c r="G1005" s="207"/>
      <c r="H1005" s="228"/>
    </row>
    <row r="1006" spans="1:8" ht="17.100000000000001" customHeight="1" x14ac:dyDescent="0.25">
      <c r="A1006" s="199"/>
      <c r="B1006" s="199"/>
      <c r="C1006" s="199"/>
      <c r="D1006" s="199"/>
      <c r="E1006" s="207"/>
      <c r="F1006" s="207"/>
      <c r="G1006" s="207"/>
      <c r="H1006" s="228"/>
    </row>
    <row r="1007" spans="1:8" ht="17.100000000000001" customHeight="1" x14ac:dyDescent="0.25">
      <c r="A1007" s="248"/>
      <c r="E1007" s="208" t="s">
        <v>50</v>
      </c>
      <c r="F1007" s="208"/>
      <c r="G1007" s="208"/>
      <c r="H1007" s="228">
        <f>ROUND(SUM(G1004)+(G1005),0)</f>
        <v>0</v>
      </c>
    </row>
    <row r="1008" spans="1:8" ht="17.100000000000001" customHeight="1" x14ac:dyDescent="0.25">
      <c r="A1008" s="247"/>
      <c r="E1008" s="208"/>
      <c r="F1008" s="208"/>
      <c r="G1008" s="208"/>
      <c r="H1008" s="228"/>
    </row>
    <row r="1009" spans="1:8" ht="17.100000000000001" customHeight="1" x14ac:dyDescent="0.25">
      <c r="A1009" s="247"/>
      <c r="D1009" s="215" t="s">
        <v>54</v>
      </c>
      <c r="E1009" s="216"/>
      <c r="F1009" s="216"/>
      <c r="G1009" s="216"/>
      <c r="H1009" s="453">
        <f>ROUND(SUM(H987:H1008),2)</f>
        <v>16275</v>
      </c>
    </row>
    <row r="1010" spans="1:8" ht="17.100000000000001" customHeight="1" x14ac:dyDescent="0.25">
      <c r="A1010" s="247"/>
      <c r="E1010" s="208"/>
      <c r="F1010" s="208"/>
      <c r="G1010" s="208"/>
      <c r="H1010" s="228"/>
    </row>
    <row r="1011" spans="1:8" ht="17.100000000000001" customHeight="1" x14ac:dyDescent="0.25">
      <c r="A1011" s="206" t="s">
        <v>55</v>
      </c>
      <c r="B1011" s="764" t="s">
        <v>56</v>
      </c>
      <c r="C1011" s="765"/>
      <c r="D1011" s="765"/>
      <c r="E1011" s="765"/>
      <c r="F1011" s="765"/>
      <c r="G1011" s="766"/>
      <c r="H1011" s="228"/>
    </row>
    <row r="1012" spans="1:8" ht="17.100000000000001" customHeight="1" x14ac:dyDescent="0.25">
      <c r="A1012" s="225"/>
      <c r="B1012" s="225" t="s">
        <v>31</v>
      </c>
      <c r="C1012" s="225" t="s">
        <v>57</v>
      </c>
      <c r="D1012" s="199" t="s">
        <v>58</v>
      </c>
      <c r="E1012" s="207"/>
      <c r="F1012" s="207" t="s">
        <v>59</v>
      </c>
      <c r="G1012" s="207"/>
      <c r="H1012" s="228"/>
    </row>
    <row r="1013" spans="1:8" ht="17.100000000000001" customHeight="1" x14ac:dyDescent="0.25">
      <c r="A1013" s="199"/>
      <c r="B1013" s="225" t="s">
        <v>60</v>
      </c>
      <c r="C1013" s="212">
        <v>0.28000000000000003</v>
      </c>
      <c r="D1013" s="199"/>
      <c r="E1013" s="210"/>
      <c r="F1013" s="199"/>
      <c r="G1013" s="218">
        <f>+H1009*C1013</f>
        <v>4557</v>
      </c>
      <c r="H1013" s="228"/>
    </row>
    <row r="1014" spans="1:8" ht="17.100000000000001" customHeight="1" x14ac:dyDescent="0.25">
      <c r="A1014" s="199"/>
      <c r="B1014" s="225" t="s">
        <v>61</v>
      </c>
      <c r="C1014" s="212">
        <v>0.01</v>
      </c>
      <c r="D1014" s="199"/>
      <c r="E1014" s="210"/>
      <c r="F1014" s="199"/>
      <c r="G1014" s="218">
        <f>+H1009*C1014</f>
        <v>162.75</v>
      </c>
      <c r="H1014" s="228"/>
    </row>
    <row r="1015" spans="1:8" ht="17.100000000000001" customHeight="1" x14ac:dyDescent="0.25">
      <c r="A1015" s="199"/>
      <c r="B1015" s="225" t="s">
        <v>62</v>
      </c>
      <c r="C1015" s="212">
        <v>0.03</v>
      </c>
      <c r="D1015" s="199"/>
      <c r="E1015" s="210"/>
      <c r="F1015" s="199"/>
      <c r="G1015" s="218">
        <f>+H1009*C1015</f>
        <v>488.25</v>
      </c>
      <c r="H1015" s="228"/>
    </row>
    <row r="1016" spans="1:8" ht="17.100000000000001" customHeight="1" x14ac:dyDescent="0.25">
      <c r="A1016" s="247"/>
      <c r="D1016" s="215" t="s">
        <v>63</v>
      </c>
      <c r="E1016" s="216"/>
      <c r="F1016" s="216"/>
      <c r="G1016" s="216"/>
      <c r="H1016" s="453">
        <f>SUM(G1012:G1015)</f>
        <v>5208</v>
      </c>
    </row>
    <row r="1017" spans="1:8" ht="17.100000000000001" customHeight="1" x14ac:dyDescent="0.25">
      <c r="A1017" s="247"/>
      <c r="E1017" s="208"/>
      <c r="F1017" s="208"/>
      <c r="G1017" s="208"/>
      <c r="H1017" s="228"/>
    </row>
    <row r="1018" spans="1:8" ht="17.100000000000001" customHeight="1" x14ac:dyDescent="0.25">
      <c r="A1018" s="247"/>
      <c r="D1018" s="215" t="s">
        <v>64</v>
      </c>
      <c r="E1018" s="216"/>
      <c r="F1018" s="216"/>
      <c r="G1018" s="208"/>
      <c r="H1018" s="453">
        <f>H1009+H1016</f>
        <v>21483</v>
      </c>
    </row>
    <row r="1019" spans="1:8" ht="17.100000000000001" customHeight="1" x14ac:dyDescent="0.25">
      <c r="A1019" s="247"/>
      <c r="D1019" s="215"/>
      <c r="E1019" s="216"/>
      <c r="F1019" s="216"/>
      <c r="G1019" s="208"/>
      <c r="H1019" s="228"/>
    </row>
    <row r="1020" spans="1:8" ht="17.100000000000001" customHeight="1" x14ac:dyDescent="0.25">
      <c r="A1020" s="247"/>
      <c r="E1020" s="216"/>
      <c r="F1020" s="216"/>
      <c r="G1020" s="208"/>
      <c r="H1020" s="228"/>
    </row>
    <row r="1021" spans="1:8" ht="17.100000000000001" customHeight="1" x14ac:dyDescent="0.25">
      <c r="A1021" s="205"/>
      <c r="B1021" s="204"/>
      <c r="E1021" s="219"/>
      <c r="F1021" s="220"/>
      <c r="G1021" s="203"/>
      <c r="H1021" s="228"/>
    </row>
    <row r="1022" spans="1:8" ht="17.100000000000001" customHeight="1" x14ac:dyDescent="0.25">
      <c r="A1022" s="249" t="str">
        <f>+A967</f>
        <v>ING JHON ALEXANDER ARIAS</v>
      </c>
      <c r="B1022" s="217"/>
      <c r="E1022" s="223" t="str">
        <f>E967</f>
        <v>ARQ. GUILLERMO YAMID VALLEJOS BENAVIDES</v>
      </c>
      <c r="F1022" s="217"/>
      <c r="G1022" s="217"/>
      <c r="H1022" s="455"/>
    </row>
    <row r="1023" spans="1:8" ht="17.100000000000001" customHeight="1" x14ac:dyDescent="0.25">
      <c r="A1023" s="250" t="str">
        <f t="shared" ref="A1023:A1024" si="19">+A968</f>
        <v>APOYO PROFESIONAL SPOPM</v>
      </c>
      <c r="B1023" s="217"/>
      <c r="E1023" s="217" t="str">
        <f>E968</f>
        <v>SECRETARIO DE PLANEACION Y OBRAS PUBLICAS</v>
      </c>
      <c r="F1023" s="217"/>
      <c r="G1023" s="217"/>
      <c r="H1023" s="455"/>
    </row>
    <row r="1024" spans="1:8" ht="17.100000000000001" customHeight="1" x14ac:dyDescent="0.25">
      <c r="A1024" s="250" t="str">
        <f t="shared" si="19"/>
        <v>MP 111037-0703225 NRÑ</v>
      </c>
      <c r="B1024" s="580"/>
      <c r="C1024" s="579"/>
      <c r="D1024" s="579"/>
      <c r="E1024" s="580" t="str">
        <f>E969</f>
        <v>SAN MIGUEL - PUTUMAYO</v>
      </c>
      <c r="F1024" s="580"/>
      <c r="G1024" s="580"/>
      <c r="H1024" s="580"/>
    </row>
    <row r="1028" spans="1:8" ht="27.6" customHeight="1" x14ac:dyDescent="0.3">
      <c r="A1028" s="705"/>
      <c r="B1028" s="706"/>
      <c r="C1028" s="638" t="s">
        <v>224</v>
      </c>
      <c r="D1028" s="625" t="s">
        <v>225</v>
      </c>
      <c r="E1028" s="626"/>
      <c r="F1028" s="275">
        <v>103</v>
      </c>
      <c r="G1028" s="753"/>
      <c r="H1028" s="754"/>
    </row>
    <row r="1029" spans="1:8" ht="17.100000000000001" customHeight="1" x14ac:dyDescent="0.25">
      <c r="A1029" s="707"/>
      <c r="B1029" s="708"/>
      <c r="C1029" s="639"/>
      <c r="D1029" s="634" t="s">
        <v>195</v>
      </c>
      <c r="E1029" s="635"/>
      <c r="F1029" s="712">
        <v>51</v>
      </c>
      <c r="G1029" s="755"/>
      <c r="H1029" s="756"/>
    </row>
    <row r="1030" spans="1:8" ht="17.100000000000001" customHeight="1" x14ac:dyDescent="0.25">
      <c r="A1030" s="707"/>
      <c r="B1030" s="708"/>
      <c r="C1030" s="307" t="s">
        <v>196</v>
      </c>
      <c r="D1030" s="636"/>
      <c r="E1030" s="637"/>
      <c r="F1030" s="713"/>
      <c r="G1030" s="755"/>
      <c r="H1030" s="756"/>
    </row>
    <row r="1031" spans="1:8" ht="24.75" customHeight="1" x14ac:dyDescent="0.25">
      <c r="A1031" s="707"/>
      <c r="B1031" s="708"/>
      <c r="C1031" s="308" t="s">
        <v>197</v>
      </c>
      <c r="D1031" s="640" t="s">
        <v>198</v>
      </c>
      <c r="E1031" s="641"/>
      <c r="F1031" s="309">
        <v>1</v>
      </c>
      <c r="G1031" s="755"/>
      <c r="H1031" s="756"/>
    </row>
    <row r="1032" spans="1:8" ht="43.5" customHeight="1" x14ac:dyDescent="0.25">
      <c r="A1032" s="707"/>
      <c r="B1032" s="708"/>
      <c r="C1032" s="714" t="s">
        <v>199</v>
      </c>
      <c r="D1032" s="716" t="s">
        <v>200</v>
      </c>
      <c r="E1032" s="717"/>
      <c r="F1032" s="307" t="s">
        <v>201</v>
      </c>
      <c r="G1032" s="755"/>
      <c r="H1032" s="756"/>
    </row>
    <row r="1033" spans="1:8" ht="17.100000000000001" customHeight="1" x14ac:dyDescent="0.25">
      <c r="A1033" s="709"/>
      <c r="B1033" s="710"/>
      <c r="C1033" s="715"/>
      <c r="D1033" s="718"/>
      <c r="E1033" s="719"/>
      <c r="F1033" s="310">
        <v>44216</v>
      </c>
      <c r="G1033" s="757"/>
      <c r="H1033" s="758"/>
    </row>
    <row r="1034" spans="1:8" ht="17.100000000000001" customHeight="1" x14ac:dyDescent="0.25">
      <c r="A1034" s="759" t="str">
        <f>+A978</f>
        <v>ADECUACION Y MEJORAMIENTO DE AULAS ESCOLARES UBICADA EN LA INSTITUCION EDUCATIVA TECNICO COMERCIAL LA DORADA SEDE ESCUELA CENTRAL DEL MUNICIPIO DE SAN MIGUEL PUTUMAYO</v>
      </c>
      <c r="B1034" s="760"/>
      <c r="C1034" s="760"/>
      <c r="D1034" s="760"/>
      <c r="E1034" s="760"/>
      <c r="F1034" s="760"/>
      <c r="G1034" s="760"/>
      <c r="H1034" s="761"/>
    </row>
    <row r="1035" spans="1:8" ht="17.100000000000001" customHeight="1" x14ac:dyDescent="0.25">
      <c r="A1035" s="720"/>
      <c r="B1035" s="721"/>
      <c r="C1035" s="721"/>
      <c r="D1035" s="721"/>
      <c r="E1035" s="721"/>
      <c r="F1035" s="721"/>
      <c r="G1035" s="721"/>
      <c r="H1035" s="722"/>
    </row>
    <row r="1036" spans="1:8" ht="17.100000000000001" customHeight="1" thickBot="1" x14ac:dyDescent="0.3">
      <c r="A1036" s="762"/>
      <c r="B1036" s="727"/>
      <c r="C1036" s="727"/>
      <c r="D1036" s="727"/>
      <c r="E1036" s="727"/>
      <c r="F1036" s="727"/>
      <c r="G1036" s="727"/>
      <c r="H1036" s="763"/>
    </row>
    <row r="1037" spans="1:8" ht="17.100000000000001" customHeight="1" thickBot="1" x14ac:dyDescent="0.3">
      <c r="A1037" s="351">
        <f>Presupuesto!A39</f>
        <v>4.0999999999999996</v>
      </c>
      <c r="B1037" s="732" t="str">
        <f>Presupuesto!B39</f>
        <v>ESTRUCTURA METALICA PARA CUBIERTA EN PERFIL C Gr50  100 x 50 x 2.0mm x 6m (Incluye soldadura)</v>
      </c>
      <c r="C1037" s="733"/>
      <c r="D1037" s="733"/>
      <c r="E1037" s="733"/>
      <c r="F1037" s="734"/>
      <c r="G1037" s="352" t="s">
        <v>28</v>
      </c>
      <c r="H1037" s="452" t="str">
        <f>Presupuesto!D39</f>
        <v>KG</v>
      </c>
    </row>
    <row r="1038" spans="1:8" ht="17.100000000000001" customHeight="1" x14ac:dyDescent="0.25">
      <c r="A1038" s="247"/>
      <c r="H1038" s="244"/>
    </row>
    <row r="1039" spans="1:8" ht="17.100000000000001" customHeight="1" x14ac:dyDescent="0.25">
      <c r="A1039" s="206" t="s">
        <v>29</v>
      </c>
      <c r="B1039" s="764" t="s">
        <v>30</v>
      </c>
      <c r="C1039" s="765"/>
      <c r="D1039" s="765"/>
      <c r="E1039" s="765"/>
      <c r="F1039" s="765"/>
      <c r="G1039" s="766"/>
      <c r="H1039" s="244"/>
    </row>
    <row r="1040" spans="1:8" ht="17.100000000000001" customHeight="1" x14ac:dyDescent="0.25">
      <c r="A1040" s="225"/>
      <c r="B1040" s="735" t="s">
        <v>31</v>
      </c>
      <c r="C1040" s="736"/>
      <c r="D1040" s="225" t="s">
        <v>32</v>
      </c>
      <c r="E1040" s="225" t="s">
        <v>33</v>
      </c>
      <c r="F1040" s="225" t="s">
        <v>34</v>
      </c>
      <c r="G1040" s="225" t="s">
        <v>35</v>
      </c>
      <c r="H1040" s="244"/>
    </row>
    <row r="1041" spans="1:8" ht="17.100000000000001" customHeight="1" x14ac:dyDescent="0.25">
      <c r="A1041" s="199"/>
      <c r="B1041" s="735" t="s">
        <v>67</v>
      </c>
      <c r="C1041" s="736"/>
      <c r="D1041" s="199"/>
      <c r="E1041" s="207"/>
      <c r="F1041" s="207">
        <v>0.1</v>
      </c>
      <c r="G1041" s="218">
        <f>H1062*F1041</f>
        <v>665</v>
      </c>
      <c r="H1041" s="245"/>
    </row>
    <row r="1042" spans="1:8" ht="17.100000000000001" customHeight="1" x14ac:dyDescent="0.25">
      <c r="A1042" s="199"/>
      <c r="B1042" s="737" t="s">
        <v>330</v>
      </c>
      <c r="C1042" s="738"/>
      <c r="D1042" s="199" t="s">
        <v>331</v>
      </c>
      <c r="E1042" s="207">
        <v>2700</v>
      </c>
      <c r="F1042" s="207">
        <v>0.15</v>
      </c>
      <c r="G1042" s="207">
        <f>E1042*F1042</f>
        <v>405</v>
      </c>
      <c r="H1042" s="245"/>
    </row>
    <row r="1043" spans="1:8" ht="17.100000000000001" customHeight="1" x14ac:dyDescent="0.25">
      <c r="A1043" s="199"/>
      <c r="B1043" s="737" t="s">
        <v>377</v>
      </c>
      <c r="C1043" s="738"/>
      <c r="D1043" s="199" t="s">
        <v>378</v>
      </c>
      <c r="E1043" s="207">
        <v>80000</v>
      </c>
      <c r="F1043" s="207">
        <v>0.01</v>
      </c>
      <c r="G1043" s="207">
        <f>E1043*F1043</f>
        <v>800</v>
      </c>
      <c r="H1043" s="245"/>
    </row>
    <row r="1044" spans="1:8" ht="17.100000000000001" customHeight="1" x14ac:dyDescent="0.25">
      <c r="A1044" s="199"/>
      <c r="B1044" s="737" t="s">
        <v>379</v>
      </c>
      <c r="C1044" s="738"/>
      <c r="D1044" s="199" t="s">
        <v>378</v>
      </c>
      <c r="E1044" s="207">
        <v>100000</v>
      </c>
      <c r="F1044" s="207">
        <v>1.4E-2</v>
      </c>
      <c r="G1044" s="207">
        <f>E1044*F1044</f>
        <v>1400</v>
      </c>
      <c r="H1044" s="245"/>
    </row>
    <row r="1045" spans="1:8" ht="17.100000000000001" customHeight="1" x14ac:dyDescent="0.25">
      <c r="A1045" s="199"/>
      <c r="B1045" s="737" t="s">
        <v>380</v>
      </c>
      <c r="C1045" s="738"/>
      <c r="D1045" s="199" t="s">
        <v>378</v>
      </c>
      <c r="E1045" s="207">
        <v>100000</v>
      </c>
      <c r="F1045" s="207">
        <v>1.2999999999999999E-2</v>
      </c>
      <c r="G1045" s="207">
        <f>E1045*F1045</f>
        <v>1300</v>
      </c>
      <c r="H1045" s="245"/>
    </row>
    <row r="1046" spans="1:8" ht="17.100000000000001" customHeight="1" x14ac:dyDescent="0.25">
      <c r="A1046" s="199"/>
      <c r="B1046" s="735"/>
      <c r="C1046" s="736"/>
      <c r="D1046" s="199"/>
      <c r="E1046" s="207"/>
      <c r="F1046" s="207"/>
      <c r="G1046" s="207"/>
      <c r="H1046" s="228"/>
    </row>
    <row r="1047" spans="1:8" ht="17.100000000000001" customHeight="1" x14ac:dyDescent="0.25">
      <c r="A1047" s="248"/>
      <c r="E1047" s="208" t="s">
        <v>36</v>
      </c>
      <c r="F1047" s="208"/>
      <c r="G1047" s="208"/>
      <c r="H1047" s="453">
        <f>SUM(G1041:G1046)</f>
        <v>4570</v>
      </c>
    </row>
    <row r="1048" spans="1:8" ht="17.100000000000001" customHeight="1" x14ac:dyDescent="0.25">
      <c r="A1048" s="206" t="s">
        <v>37</v>
      </c>
      <c r="B1048" s="764" t="s">
        <v>38</v>
      </c>
      <c r="C1048" s="765"/>
      <c r="D1048" s="765"/>
      <c r="E1048" s="765"/>
      <c r="F1048" s="765"/>
      <c r="G1048" s="766"/>
      <c r="H1048" s="228"/>
    </row>
    <row r="1049" spans="1:8" ht="17.100000000000001" customHeight="1" x14ac:dyDescent="0.25">
      <c r="A1049" s="225"/>
      <c r="B1049" s="735" t="s">
        <v>31</v>
      </c>
      <c r="C1049" s="736"/>
      <c r="D1049" s="199" t="s">
        <v>12</v>
      </c>
      <c r="E1049" s="209" t="s">
        <v>39</v>
      </c>
      <c r="F1049" s="209" t="s">
        <v>40</v>
      </c>
      <c r="G1049" s="209" t="s">
        <v>35</v>
      </c>
      <c r="H1049" s="228"/>
    </row>
    <row r="1050" spans="1:8" ht="17.100000000000001" customHeight="1" x14ac:dyDescent="0.25">
      <c r="A1050" s="199"/>
      <c r="B1050" s="739" t="s">
        <v>381</v>
      </c>
      <c r="C1050" s="740"/>
      <c r="D1050" s="365" t="s">
        <v>130</v>
      </c>
      <c r="E1050" s="367">
        <v>1.05</v>
      </c>
      <c r="F1050" s="368">
        <v>8650</v>
      </c>
      <c r="G1050" s="207">
        <f>E1050*F1050</f>
        <v>9082.5</v>
      </c>
      <c r="H1050" s="228"/>
    </row>
    <row r="1051" spans="1:8" ht="17.100000000000001" customHeight="1" x14ac:dyDescent="0.25">
      <c r="A1051" s="199"/>
      <c r="B1051" s="739" t="s">
        <v>322</v>
      </c>
      <c r="C1051" s="740"/>
      <c r="D1051" s="365" t="s">
        <v>130</v>
      </c>
      <c r="E1051" s="365">
        <v>0.05</v>
      </c>
      <c r="F1051" s="368">
        <v>25000</v>
      </c>
      <c r="G1051" s="207">
        <f t="shared" ref="G1051:G1053" si="20">E1051*F1051</f>
        <v>1250</v>
      </c>
      <c r="H1051" s="228"/>
    </row>
    <row r="1052" spans="1:8" ht="17.100000000000001" customHeight="1" x14ac:dyDescent="0.25">
      <c r="A1052" s="199"/>
      <c r="B1052" s="739" t="s">
        <v>382</v>
      </c>
      <c r="C1052" s="740"/>
      <c r="D1052" s="365" t="s">
        <v>76</v>
      </c>
      <c r="E1052" s="365">
        <v>0.02</v>
      </c>
      <c r="F1052" s="368">
        <v>20900</v>
      </c>
      <c r="G1052" s="207">
        <f t="shared" si="20"/>
        <v>418</v>
      </c>
      <c r="H1052" s="228"/>
    </row>
    <row r="1053" spans="1:8" ht="17.100000000000001" customHeight="1" x14ac:dyDescent="0.25">
      <c r="A1053" s="199"/>
      <c r="B1053" s="739" t="s">
        <v>383</v>
      </c>
      <c r="C1053" s="740"/>
      <c r="D1053" s="365" t="s">
        <v>76</v>
      </c>
      <c r="E1053" s="365">
        <v>1.4999999999999999E-2</v>
      </c>
      <c r="F1053" s="368">
        <v>7500</v>
      </c>
      <c r="G1053" s="207">
        <f t="shared" si="20"/>
        <v>112.5</v>
      </c>
      <c r="H1053" s="228"/>
    </row>
    <row r="1054" spans="1:8" ht="17.100000000000001" customHeight="1" x14ac:dyDescent="0.25">
      <c r="A1054" s="199"/>
      <c r="B1054" s="739" t="s">
        <v>326</v>
      </c>
      <c r="C1054" s="740"/>
      <c r="D1054" s="231" t="s">
        <v>324</v>
      </c>
      <c r="E1054" s="402">
        <v>0.03</v>
      </c>
      <c r="F1054" s="369">
        <v>125000</v>
      </c>
      <c r="G1054" s="207">
        <f>E1054*F1054</f>
        <v>3750</v>
      </c>
      <c r="H1054" s="228"/>
    </row>
    <row r="1055" spans="1:8" ht="17.100000000000001" customHeight="1" x14ac:dyDescent="0.25">
      <c r="A1055" s="199"/>
      <c r="B1055" s="739" t="s">
        <v>384</v>
      </c>
      <c r="C1055" s="740"/>
      <c r="D1055" s="231" t="s">
        <v>324</v>
      </c>
      <c r="E1055" s="497">
        <v>0.03</v>
      </c>
      <c r="F1055" s="369">
        <v>36900</v>
      </c>
      <c r="G1055" s="207">
        <f t="shared" ref="G1055" si="21">E1055*F1055</f>
        <v>1107</v>
      </c>
      <c r="H1055" s="228"/>
    </row>
    <row r="1056" spans="1:8" ht="17.100000000000001" customHeight="1" x14ac:dyDescent="0.25">
      <c r="A1056" s="248" t="s">
        <v>41</v>
      </c>
      <c r="E1056" s="208" t="s">
        <v>42</v>
      </c>
      <c r="F1056" s="208"/>
      <c r="G1056" s="208"/>
      <c r="H1056" s="370">
        <f>(SUM(G1050:G1055))</f>
        <v>15720</v>
      </c>
    </row>
    <row r="1057" spans="1:8" ht="17.100000000000001" customHeight="1" x14ac:dyDescent="0.25">
      <c r="A1057" s="206" t="s">
        <v>43</v>
      </c>
      <c r="B1057" s="764" t="s">
        <v>44</v>
      </c>
      <c r="C1057" s="765"/>
      <c r="D1057" s="765"/>
      <c r="E1057" s="765"/>
      <c r="F1057" s="765"/>
      <c r="G1057" s="766"/>
      <c r="H1057" s="228"/>
    </row>
    <row r="1058" spans="1:8" ht="17.100000000000001" customHeight="1" x14ac:dyDescent="0.25">
      <c r="A1058" s="199" t="s">
        <v>45</v>
      </c>
      <c r="B1058" s="225" t="s">
        <v>31</v>
      </c>
      <c r="C1058" s="225" t="s">
        <v>46</v>
      </c>
      <c r="D1058" s="225" t="s">
        <v>47</v>
      </c>
      <c r="E1058" s="209" t="s">
        <v>48</v>
      </c>
      <c r="F1058" s="207" t="s">
        <v>34</v>
      </c>
      <c r="G1058" s="207" t="s">
        <v>35</v>
      </c>
      <c r="H1058" s="228"/>
    </row>
    <row r="1059" spans="1:8" ht="17.100000000000001" customHeight="1" x14ac:dyDescent="0.25">
      <c r="A1059" s="199">
        <v>1</v>
      </c>
      <c r="B1059" s="199" t="s">
        <v>189</v>
      </c>
      <c r="C1059" s="211">
        <v>70000</v>
      </c>
      <c r="D1059" s="212">
        <v>0.75</v>
      </c>
      <c r="E1059" s="210">
        <f>+(A1059*C1059)+(A1059*C1059*D1059)</f>
        <v>122500</v>
      </c>
      <c r="F1059" s="213">
        <v>50</v>
      </c>
      <c r="G1059" s="218">
        <f>(E1059)/(F1059)</f>
        <v>2450</v>
      </c>
      <c r="H1059" s="228"/>
    </row>
    <row r="1060" spans="1:8" ht="17.100000000000001" customHeight="1" x14ac:dyDescent="0.25">
      <c r="A1060" s="199">
        <v>1</v>
      </c>
      <c r="B1060" s="199" t="s">
        <v>233</v>
      </c>
      <c r="C1060" s="211">
        <v>120000</v>
      </c>
      <c r="D1060" s="212">
        <v>0.75</v>
      </c>
      <c r="E1060" s="210">
        <f>+(A1060*C1060)+(A1060*C1060*D1060)</f>
        <v>210000</v>
      </c>
      <c r="F1060" s="213">
        <v>50</v>
      </c>
      <c r="G1060" s="218">
        <f>(E1060)/(F1060)</f>
        <v>4200</v>
      </c>
      <c r="H1060" s="228"/>
    </row>
    <row r="1061" spans="1:8" ht="17.100000000000001" customHeight="1" x14ac:dyDescent="0.25">
      <c r="A1061" s="199"/>
      <c r="B1061" s="199"/>
      <c r="C1061" s="199"/>
      <c r="D1061" s="199"/>
      <c r="E1061" s="207"/>
      <c r="F1061" s="207"/>
      <c r="G1061" s="207"/>
      <c r="H1061" s="228"/>
    </row>
    <row r="1062" spans="1:8" ht="17.100000000000001" customHeight="1" x14ac:dyDescent="0.25">
      <c r="A1062" s="248"/>
      <c r="E1062" s="208" t="s">
        <v>50</v>
      </c>
      <c r="F1062" s="208"/>
      <c r="G1062" s="208"/>
      <c r="H1062" s="453">
        <f>SUM(G1059)+(G1060)</f>
        <v>6650</v>
      </c>
    </row>
    <row r="1063" spans="1:8" ht="17.100000000000001" customHeight="1" x14ac:dyDescent="0.25">
      <c r="A1063" s="206" t="s">
        <v>51</v>
      </c>
      <c r="B1063" s="764" t="s">
        <v>18</v>
      </c>
      <c r="C1063" s="765"/>
      <c r="D1063" s="765"/>
      <c r="E1063" s="765"/>
      <c r="F1063" s="765"/>
      <c r="G1063" s="766"/>
      <c r="H1063" s="228"/>
    </row>
    <row r="1064" spans="1:8" ht="17.100000000000001" customHeight="1" x14ac:dyDescent="0.25">
      <c r="A1064" s="199"/>
      <c r="B1064" s="199" t="s">
        <v>31</v>
      </c>
      <c r="C1064" s="225" t="s">
        <v>12</v>
      </c>
      <c r="D1064" s="225" t="s">
        <v>13</v>
      </c>
      <c r="E1064" s="225" t="s">
        <v>52</v>
      </c>
      <c r="F1064" s="225"/>
      <c r="G1064" s="207" t="s">
        <v>53</v>
      </c>
      <c r="H1064" s="228"/>
    </row>
    <row r="1065" spans="1:8" ht="17.100000000000001" customHeight="1" x14ac:dyDescent="0.25">
      <c r="A1065" s="199"/>
      <c r="B1065" s="199"/>
      <c r="C1065" s="214"/>
      <c r="D1065" s="199"/>
      <c r="E1065" s="207"/>
      <c r="F1065" s="207"/>
      <c r="G1065" s="207"/>
      <c r="H1065" s="228"/>
    </row>
    <row r="1066" spans="1:8" ht="17.100000000000001" customHeight="1" x14ac:dyDescent="0.25">
      <c r="A1066" s="199"/>
      <c r="B1066" s="199"/>
      <c r="C1066" s="210"/>
      <c r="D1066" s="199"/>
      <c r="E1066" s="207"/>
      <c r="F1066" s="207"/>
      <c r="G1066" s="207"/>
      <c r="H1066" s="228"/>
    </row>
    <row r="1067" spans="1:8" ht="17.100000000000001" customHeight="1" x14ac:dyDescent="0.25">
      <c r="A1067" s="199"/>
      <c r="B1067" s="199"/>
      <c r="C1067" s="199"/>
      <c r="D1067" s="199"/>
      <c r="E1067" s="207"/>
      <c r="F1067" s="207"/>
      <c r="G1067" s="207"/>
      <c r="H1067" s="228"/>
    </row>
    <row r="1068" spans="1:8" ht="17.100000000000001" customHeight="1" x14ac:dyDescent="0.25">
      <c r="A1068" s="248"/>
      <c r="E1068" s="208" t="s">
        <v>50</v>
      </c>
      <c r="F1068" s="208"/>
      <c r="G1068" s="208"/>
      <c r="H1068" s="228">
        <f>ROUND(SUM(G1065)+(G1066),0)</f>
        <v>0</v>
      </c>
    </row>
    <row r="1069" spans="1:8" ht="17.100000000000001" customHeight="1" x14ac:dyDescent="0.25">
      <c r="A1069" s="247"/>
      <c r="E1069" s="208"/>
      <c r="F1069" s="208"/>
      <c r="G1069" s="208"/>
      <c r="H1069" s="228"/>
    </row>
    <row r="1070" spans="1:8" ht="17.100000000000001" customHeight="1" x14ac:dyDescent="0.25">
      <c r="A1070" s="247"/>
      <c r="D1070" s="215" t="s">
        <v>54</v>
      </c>
      <c r="E1070" s="216"/>
      <c r="F1070" s="216"/>
      <c r="G1070" s="216"/>
      <c r="H1070" s="453">
        <f>ROUND(SUM(H1047:H1069),2)</f>
        <v>26940</v>
      </c>
    </row>
    <row r="1071" spans="1:8" ht="17.100000000000001" customHeight="1" x14ac:dyDescent="0.25">
      <c r="A1071" s="247"/>
      <c r="E1071" s="208"/>
      <c r="F1071" s="208"/>
      <c r="G1071" s="208"/>
      <c r="H1071" s="228"/>
    </row>
    <row r="1072" spans="1:8" ht="17.100000000000001" customHeight="1" x14ac:dyDescent="0.25">
      <c r="A1072" s="206" t="s">
        <v>55</v>
      </c>
      <c r="B1072" s="764" t="s">
        <v>56</v>
      </c>
      <c r="C1072" s="765"/>
      <c r="D1072" s="765"/>
      <c r="E1072" s="765"/>
      <c r="F1072" s="765"/>
      <c r="G1072" s="766"/>
      <c r="H1072" s="228"/>
    </row>
    <row r="1073" spans="1:8" ht="17.100000000000001" customHeight="1" x14ac:dyDescent="0.25">
      <c r="A1073" s="225"/>
      <c r="B1073" s="225" t="s">
        <v>31</v>
      </c>
      <c r="C1073" s="225" t="s">
        <v>57</v>
      </c>
      <c r="D1073" s="199" t="s">
        <v>58</v>
      </c>
      <c r="E1073" s="207"/>
      <c r="F1073" s="207" t="s">
        <v>59</v>
      </c>
      <c r="G1073" s="207"/>
      <c r="H1073" s="228"/>
    </row>
    <row r="1074" spans="1:8" ht="17.100000000000001" customHeight="1" x14ac:dyDescent="0.25">
      <c r="A1074" s="199"/>
      <c r="B1074" s="225" t="s">
        <v>60</v>
      </c>
      <c r="C1074" s="212">
        <v>0.28000000000000003</v>
      </c>
      <c r="D1074" s="199"/>
      <c r="E1074" s="210"/>
      <c r="F1074" s="199"/>
      <c r="G1074" s="218">
        <f>+H1070*C1074</f>
        <v>7543.2000000000007</v>
      </c>
      <c r="H1074" s="228"/>
    </row>
    <row r="1075" spans="1:8" ht="17.100000000000001" customHeight="1" x14ac:dyDescent="0.25">
      <c r="A1075" s="199"/>
      <c r="B1075" s="225" t="s">
        <v>61</v>
      </c>
      <c r="C1075" s="212">
        <v>0.01</v>
      </c>
      <c r="D1075" s="199"/>
      <c r="E1075" s="210"/>
      <c r="F1075" s="199"/>
      <c r="G1075" s="218">
        <f>+H1070*C1075</f>
        <v>269.39999999999998</v>
      </c>
      <c r="H1075" s="228"/>
    </row>
    <row r="1076" spans="1:8" ht="17.100000000000001" customHeight="1" x14ac:dyDescent="0.25">
      <c r="A1076" s="199"/>
      <c r="B1076" s="225" t="s">
        <v>62</v>
      </c>
      <c r="C1076" s="212">
        <v>0.03</v>
      </c>
      <c r="D1076" s="199"/>
      <c r="E1076" s="210"/>
      <c r="F1076" s="199"/>
      <c r="G1076" s="218">
        <f>+H1070*C1076</f>
        <v>808.19999999999993</v>
      </c>
      <c r="H1076" s="228"/>
    </row>
    <row r="1077" spans="1:8" ht="17.100000000000001" customHeight="1" x14ac:dyDescent="0.25">
      <c r="A1077" s="247"/>
      <c r="D1077" s="215" t="s">
        <v>63</v>
      </c>
      <c r="E1077" s="216"/>
      <c r="F1077" s="216"/>
      <c r="G1077" s="216"/>
      <c r="H1077" s="453">
        <f>SUM(G1073:G1076)</f>
        <v>8620.8000000000011</v>
      </c>
    </row>
    <row r="1078" spans="1:8" ht="17.100000000000001" customHeight="1" x14ac:dyDescent="0.25">
      <c r="A1078" s="247"/>
      <c r="E1078" s="208"/>
      <c r="F1078" s="208"/>
      <c r="G1078" s="208"/>
      <c r="H1078" s="228"/>
    </row>
    <row r="1079" spans="1:8" ht="17.100000000000001" customHeight="1" x14ac:dyDescent="0.25">
      <c r="A1079" s="247"/>
      <c r="D1079" s="215" t="s">
        <v>64</v>
      </c>
      <c r="E1079" s="216"/>
      <c r="F1079" s="216"/>
      <c r="G1079" s="208"/>
      <c r="H1079" s="453">
        <f>H1070+H1077</f>
        <v>35560.800000000003</v>
      </c>
    </row>
    <row r="1080" spans="1:8" ht="17.100000000000001" customHeight="1" x14ac:dyDescent="0.25">
      <c r="A1080" s="247"/>
      <c r="D1080" s="215"/>
      <c r="E1080" s="216"/>
      <c r="F1080" s="216"/>
      <c r="G1080" s="208"/>
      <c r="H1080" s="228"/>
    </row>
    <row r="1081" spans="1:8" ht="17.100000000000001" customHeight="1" x14ac:dyDescent="0.25">
      <c r="A1081" s="247"/>
      <c r="E1081" s="216"/>
      <c r="F1081" s="216"/>
      <c r="G1081" s="208"/>
      <c r="H1081" s="228"/>
    </row>
    <row r="1082" spans="1:8" ht="17.100000000000001" customHeight="1" x14ac:dyDescent="0.25">
      <c r="A1082" s="205"/>
      <c r="B1082" s="204"/>
      <c r="E1082" s="219"/>
      <c r="F1082" s="220"/>
      <c r="G1082" s="203"/>
      <c r="H1082" s="228"/>
    </row>
    <row r="1083" spans="1:8" ht="17.100000000000001" customHeight="1" x14ac:dyDescent="0.25">
      <c r="A1083" s="249" t="str">
        <f>+A1022</f>
        <v>ING JHON ALEXANDER ARIAS</v>
      </c>
      <c r="B1083" s="217"/>
      <c r="E1083" s="223" t="str">
        <f>+E1022</f>
        <v>ARQ. GUILLERMO YAMID VALLEJOS BENAVIDES</v>
      </c>
      <c r="F1083" s="217"/>
      <c r="G1083" s="217"/>
      <c r="H1083" s="455"/>
    </row>
    <row r="1084" spans="1:8" ht="17.100000000000001" customHeight="1" x14ac:dyDescent="0.25">
      <c r="A1084" s="250" t="str">
        <f t="shared" ref="A1084:A1085" si="22">+A1023</f>
        <v>APOYO PROFESIONAL SPOPM</v>
      </c>
      <c r="B1084" s="217"/>
      <c r="E1084" s="223" t="str">
        <f>+E1023</f>
        <v>SECRETARIO DE PLANEACION Y OBRAS PUBLICAS</v>
      </c>
      <c r="F1084" s="217"/>
      <c r="G1084" s="217"/>
      <c r="H1084" s="455"/>
    </row>
    <row r="1085" spans="1:8" ht="17.100000000000001" customHeight="1" x14ac:dyDescent="0.25">
      <c r="A1085" s="250" t="str">
        <f t="shared" si="22"/>
        <v>MP 111037-0703225 NRÑ</v>
      </c>
      <c r="B1085" s="580"/>
      <c r="C1085" s="579"/>
      <c r="D1085" s="579"/>
      <c r="E1085" s="582" t="str">
        <f>+E1024</f>
        <v>SAN MIGUEL - PUTUMAYO</v>
      </c>
      <c r="F1085" s="580"/>
      <c r="G1085" s="580"/>
      <c r="H1085" s="580"/>
    </row>
    <row r="1087" spans="1:8" ht="17.100000000000001" customHeight="1" x14ac:dyDescent="0.3">
      <c r="A1087" s="705"/>
      <c r="B1087" s="706"/>
      <c r="C1087" s="638" t="s">
        <v>224</v>
      </c>
      <c r="D1087" s="625" t="s">
        <v>225</v>
      </c>
      <c r="E1087" s="626"/>
      <c r="F1087" s="275">
        <v>103</v>
      </c>
      <c r="G1087" s="753"/>
      <c r="H1087" s="754"/>
    </row>
    <row r="1088" spans="1:8" ht="17.100000000000001" customHeight="1" x14ac:dyDescent="0.25">
      <c r="A1088" s="707"/>
      <c r="B1088" s="708"/>
      <c r="C1088" s="639"/>
      <c r="D1088" s="634" t="s">
        <v>195</v>
      </c>
      <c r="E1088" s="635"/>
      <c r="F1088" s="712">
        <v>51</v>
      </c>
      <c r="G1088" s="755"/>
      <c r="H1088" s="756"/>
    </row>
    <row r="1089" spans="1:8" ht="17.100000000000001" customHeight="1" x14ac:dyDescent="0.25">
      <c r="A1089" s="707"/>
      <c r="B1089" s="708"/>
      <c r="C1089" s="307" t="s">
        <v>196</v>
      </c>
      <c r="D1089" s="636"/>
      <c r="E1089" s="637"/>
      <c r="F1089" s="713"/>
      <c r="G1089" s="755"/>
      <c r="H1089" s="756"/>
    </row>
    <row r="1090" spans="1:8" ht="17.100000000000001" customHeight="1" x14ac:dyDescent="0.25">
      <c r="A1090" s="707"/>
      <c r="B1090" s="708"/>
      <c r="C1090" s="308" t="s">
        <v>197</v>
      </c>
      <c r="D1090" s="640" t="s">
        <v>198</v>
      </c>
      <c r="E1090" s="641"/>
      <c r="F1090" s="309">
        <v>1</v>
      </c>
      <c r="G1090" s="755"/>
      <c r="H1090" s="756"/>
    </row>
    <row r="1091" spans="1:8" ht="27.6" customHeight="1" x14ac:dyDescent="0.25">
      <c r="A1091" s="707"/>
      <c r="B1091" s="708"/>
      <c r="C1091" s="714" t="s">
        <v>199</v>
      </c>
      <c r="D1091" s="716" t="s">
        <v>200</v>
      </c>
      <c r="E1091" s="717"/>
      <c r="F1091" s="307" t="s">
        <v>201</v>
      </c>
      <c r="G1091" s="755"/>
      <c r="H1091" s="756"/>
    </row>
    <row r="1092" spans="1:8" ht="17.100000000000001" customHeight="1" x14ac:dyDescent="0.25">
      <c r="A1092" s="709"/>
      <c r="B1092" s="710"/>
      <c r="C1092" s="715"/>
      <c r="D1092" s="718"/>
      <c r="E1092" s="719"/>
      <c r="F1092" s="310">
        <v>44216</v>
      </c>
      <c r="G1092" s="757"/>
      <c r="H1092" s="758"/>
    </row>
    <row r="1093" spans="1:8" ht="17.100000000000001" customHeight="1" x14ac:dyDescent="0.25">
      <c r="A1093" s="759"/>
      <c r="B1093" s="760"/>
      <c r="C1093" s="760"/>
      <c r="D1093" s="760"/>
      <c r="E1093" s="760"/>
      <c r="F1093" s="760"/>
      <c r="G1093" s="760"/>
      <c r="H1093" s="761"/>
    </row>
    <row r="1094" spans="1:8" ht="24.75" customHeight="1" x14ac:dyDescent="0.25">
      <c r="A1094" s="720" t="str">
        <f>+A978</f>
        <v>ADECUACION Y MEJORAMIENTO DE AULAS ESCOLARES UBICADA EN LA INSTITUCION EDUCATIVA TECNICO COMERCIAL LA DORADA SEDE ESCUELA CENTRAL DEL MUNICIPIO DE SAN MIGUEL PUTUMAYO</v>
      </c>
      <c r="B1094" s="721"/>
      <c r="C1094" s="721"/>
      <c r="D1094" s="721"/>
      <c r="E1094" s="721"/>
      <c r="F1094" s="721"/>
      <c r="G1094" s="721"/>
      <c r="H1094" s="722"/>
    </row>
    <row r="1095" spans="1:8" ht="43.5" customHeight="1" thickBot="1" x14ac:dyDescent="0.3">
      <c r="A1095" s="720"/>
      <c r="B1095" s="721"/>
      <c r="C1095" s="721"/>
      <c r="D1095" s="721"/>
      <c r="E1095" s="721"/>
      <c r="F1095" s="721"/>
      <c r="G1095" s="721"/>
      <c r="H1095" s="722"/>
    </row>
    <row r="1096" spans="1:8" ht="17.100000000000001" customHeight="1" thickBot="1" x14ac:dyDescent="0.3">
      <c r="A1096" s="351">
        <f>Presupuesto!A40</f>
        <v>4.2</v>
      </c>
      <c r="B1096" s="732" t="str">
        <f>Presupuesto!B40</f>
        <v>SUMINISTRO E INSTALACION DE TEJA DURATECHO</v>
      </c>
      <c r="C1096" s="733"/>
      <c r="D1096" s="733"/>
      <c r="E1096" s="733"/>
      <c r="F1096" s="734"/>
      <c r="G1096" s="352" t="s">
        <v>28</v>
      </c>
      <c r="H1096" s="452" t="str">
        <f>Presupuesto!D40</f>
        <v>M2</v>
      </c>
    </row>
    <row r="1097" spans="1:8" ht="17.100000000000001" customHeight="1" x14ac:dyDescent="0.25">
      <c r="A1097" s="247"/>
      <c r="H1097" s="244"/>
    </row>
    <row r="1098" spans="1:8" ht="17.100000000000001" customHeight="1" x14ac:dyDescent="0.25">
      <c r="A1098" s="206" t="s">
        <v>29</v>
      </c>
      <c r="B1098" s="764" t="s">
        <v>30</v>
      </c>
      <c r="C1098" s="765"/>
      <c r="D1098" s="765"/>
      <c r="E1098" s="765"/>
      <c r="F1098" s="765"/>
      <c r="G1098" s="766"/>
      <c r="H1098" s="244"/>
    </row>
    <row r="1099" spans="1:8" ht="17.100000000000001" customHeight="1" x14ac:dyDescent="0.25">
      <c r="A1099" s="225"/>
      <c r="B1099" s="735" t="s">
        <v>31</v>
      </c>
      <c r="C1099" s="736"/>
      <c r="D1099" s="225" t="s">
        <v>32</v>
      </c>
      <c r="E1099" s="225" t="s">
        <v>33</v>
      </c>
      <c r="F1099" s="225" t="s">
        <v>34</v>
      </c>
      <c r="G1099" s="225" t="s">
        <v>35</v>
      </c>
      <c r="H1099" s="244"/>
    </row>
    <row r="1100" spans="1:8" ht="17.100000000000001" customHeight="1" x14ac:dyDescent="0.25">
      <c r="A1100" s="199"/>
      <c r="B1100" s="735" t="s">
        <v>67</v>
      </c>
      <c r="C1100" s="736"/>
      <c r="D1100" s="199"/>
      <c r="E1100" s="207"/>
      <c r="F1100" s="207">
        <v>0.1</v>
      </c>
      <c r="G1100" s="218">
        <f>H1118*F1100</f>
        <v>2527.7777777777778</v>
      </c>
      <c r="H1100" s="245"/>
    </row>
    <row r="1101" spans="1:8" ht="17.100000000000001" customHeight="1" x14ac:dyDescent="0.25">
      <c r="A1101" s="199"/>
      <c r="B1101" s="737" t="s">
        <v>330</v>
      </c>
      <c r="C1101" s="738"/>
      <c r="D1101" s="199" t="s">
        <v>331</v>
      </c>
      <c r="E1101" s="207">
        <v>2700</v>
      </c>
      <c r="F1101" s="207">
        <v>0.15</v>
      </c>
      <c r="G1101" s="207">
        <f>E1101*F1101</f>
        <v>405</v>
      </c>
      <c r="H1101" s="245"/>
    </row>
    <row r="1102" spans="1:8" ht="17.100000000000001" customHeight="1" x14ac:dyDescent="0.25">
      <c r="A1102" s="199"/>
      <c r="B1102" s="735"/>
      <c r="C1102" s="736"/>
      <c r="D1102" s="199"/>
      <c r="E1102" s="207"/>
      <c r="F1102" s="207"/>
      <c r="G1102" s="207"/>
      <c r="H1102" s="228"/>
    </row>
    <row r="1103" spans="1:8" ht="17.100000000000001" customHeight="1" x14ac:dyDescent="0.25">
      <c r="A1103" s="248"/>
      <c r="E1103" s="208" t="s">
        <v>36</v>
      </c>
      <c r="F1103" s="208"/>
      <c r="G1103" s="208"/>
      <c r="H1103" s="453">
        <f>SUM(G1100:G1102)</f>
        <v>2932.7777777777778</v>
      </c>
    </row>
    <row r="1104" spans="1:8" ht="17.100000000000001" customHeight="1" x14ac:dyDescent="0.25">
      <c r="A1104" s="206" t="s">
        <v>37</v>
      </c>
      <c r="B1104" s="764" t="s">
        <v>38</v>
      </c>
      <c r="C1104" s="765"/>
      <c r="D1104" s="765"/>
      <c r="E1104" s="765"/>
      <c r="F1104" s="765"/>
      <c r="G1104" s="766"/>
      <c r="H1104" s="228"/>
    </row>
    <row r="1105" spans="1:8" ht="17.100000000000001" customHeight="1" x14ac:dyDescent="0.25">
      <c r="A1105" s="225"/>
      <c r="B1105" s="735" t="s">
        <v>31</v>
      </c>
      <c r="C1105" s="736"/>
      <c r="D1105" s="199" t="s">
        <v>12</v>
      </c>
      <c r="E1105" s="209" t="s">
        <v>39</v>
      </c>
      <c r="F1105" s="209" t="s">
        <v>40</v>
      </c>
      <c r="G1105" s="209" t="s">
        <v>35</v>
      </c>
      <c r="H1105" s="228"/>
    </row>
    <row r="1106" spans="1:8" ht="17.100000000000001" customHeight="1" x14ac:dyDescent="0.25">
      <c r="A1106" s="199"/>
      <c r="B1106" s="751" t="s">
        <v>392</v>
      </c>
      <c r="C1106" s="752"/>
      <c r="D1106" s="221" t="s">
        <v>12</v>
      </c>
      <c r="E1106" s="207">
        <v>0.28999999999999998</v>
      </c>
      <c r="F1106" s="369">
        <v>100000</v>
      </c>
      <c r="G1106" s="207">
        <f>E1106*F1106</f>
        <v>28999.999999999996</v>
      </c>
      <c r="H1106" s="228"/>
    </row>
    <row r="1107" spans="1:8" ht="17.100000000000001" customHeight="1" x14ac:dyDescent="0.25">
      <c r="A1107" s="199"/>
      <c r="B1107" s="739" t="s">
        <v>393</v>
      </c>
      <c r="C1107" s="740"/>
      <c r="D1107" s="365" t="s">
        <v>76</v>
      </c>
      <c r="E1107" s="495">
        <v>4</v>
      </c>
      <c r="F1107" s="368">
        <v>900</v>
      </c>
      <c r="G1107" s="207">
        <f>E1107*F1107</f>
        <v>3600</v>
      </c>
      <c r="H1107" s="228"/>
    </row>
    <row r="1108" spans="1:8" ht="17.100000000000001" customHeight="1" x14ac:dyDescent="0.25">
      <c r="A1108" s="199"/>
      <c r="B1108" s="739"/>
      <c r="C1108" s="740"/>
      <c r="D1108" s="365"/>
      <c r="E1108" s="365"/>
      <c r="F1108" s="368"/>
      <c r="G1108" s="207">
        <f>E1108*F1108</f>
        <v>0</v>
      </c>
      <c r="H1108" s="228"/>
    </row>
    <row r="1109" spans="1:8" ht="17.100000000000001" customHeight="1" x14ac:dyDescent="0.25">
      <c r="A1109" s="199"/>
      <c r="B1109" s="739"/>
      <c r="C1109" s="740"/>
      <c r="D1109" s="365"/>
      <c r="E1109" s="365"/>
      <c r="F1109" s="368"/>
      <c r="G1109" s="207">
        <f>E1109*F1109</f>
        <v>0</v>
      </c>
      <c r="H1109" s="228"/>
    </row>
    <row r="1110" spans="1:8" ht="17.100000000000001" customHeight="1" x14ac:dyDescent="0.25">
      <c r="A1110" s="199"/>
      <c r="B1110" s="739"/>
      <c r="C1110" s="740"/>
      <c r="D1110" s="365"/>
      <c r="E1110" s="225"/>
      <c r="F1110" s="457"/>
      <c r="G1110" s="207">
        <f>E1110*F1110</f>
        <v>0</v>
      </c>
      <c r="H1110" s="228"/>
    </row>
    <row r="1111" spans="1:8" ht="17.100000000000001" customHeight="1" x14ac:dyDescent="0.25">
      <c r="A1111" s="199"/>
      <c r="B1111" s="746"/>
      <c r="C1111" s="747"/>
      <c r="D1111" s="199"/>
      <c r="E1111" s="210"/>
      <c r="F1111" s="207"/>
      <c r="G1111" s="207"/>
      <c r="H1111" s="228"/>
    </row>
    <row r="1112" spans="1:8" ht="17.100000000000001" customHeight="1" x14ac:dyDescent="0.25">
      <c r="A1112" s="248" t="s">
        <v>41</v>
      </c>
      <c r="E1112" s="208" t="s">
        <v>42</v>
      </c>
      <c r="F1112" s="208"/>
      <c r="G1112" s="208"/>
      <c r="H1112" s="370">
        <f>(SUM(G1106:G1111))</f>
        <v>32599.999999999996</v>
      </c>
    </row>
    <row r="1113" spans="1:8" ht="17.100000000000001" customHeight="1" x14ac:dyDescent="0.25">
      <c r="A1113" s="206" t="s">
        <v>43</v>
      </c>
      <c r="B1113" s="764" t="s">
        <v>44</v>
      </c>
      <c r="C1113" s="765"/>
      <c r="D1113" s="765"/>
      <c r="E1113" s="765"/>
      <c r="F1113" s="765"/>
      <c r="G1113" s="766"/>
      <c r="H1113" s="228"/>
    </row>
    <row r="1114" spans="1:8" ht="17.100000000000001" customHeight="1" x14ac:dyDescent="0.25">
      <c r="A1114" s="199" t="s">
        <v>45</v>
      </c>
      <c r="B1114" s="225" t="s">
        <v>31</v>
      </c>
      <c r="C1114" s="225" t="s">
        <v>46</v>
      </c>
      <c r="D1114" s="225" t="s">
        <v>47</v>
      </c>
      <c r="E1114" s="209" t="s">
        <v>48</v>
      </c>
      <c r="F1114" s="207" t="s">
        <v>34</v>
      </c>
      <c r="G1114" s="207" t="s">
        <v>35</v>
      </c>
      <c r="H1114" s="228"/>
    </row>
    <row r="1115" spans="1:8" ht="17.100000000000001" customHeight="1" x14ac:dyDescent="0.25">
      <c r="A1115" s="199">
        <v>2</v>
      </c>
      <c r="B1115" s="199" t="s">
        <v>189</v>
      </c>
      <c r="C1115" s="211">
        <v>70000</v>
      </c>
      <c r="D1115" s="212">
        <v>0.75</v>
      </c>
      <c r="E1115" s="210">
        <f>+(A1115*C1115)+(A1115*C1115*D1115)</f>
        <v>245000</v>
      </c>
      <c r="F1115" s="213">
        <v>18</v>
      </c>
      <c r="G1115" s="218">
        <f>(E1115)/(F1115)</f>
        <v>13611.111111111111</v>
      </c>
      <c r="H1115" s="228"/>
    </row>
    <row r="1116" spans="1:8" ht="17.100000000000001" customHeight="1" x14ac:dyDescent="0.25">
      <c r="A1116" s="199">
        <v>1</v>
      </c>
      <c r="B1116" s="199" t="s">
        <v>233</v>
      </c>
      <c r="C1116" s="211">
        <v>120000</v>
      </c>
      <c r="D1116" s="212">
        <v>0.75</v>
      </c>
      <c r="E1116" s="210">
        <f>+(A1116*C1116)+(A1116*C1116*D1116)</f>
        <v>210000</v>
      </c>
      <c r="F1116" s="213">
        <v>18</v>
      </c>
      <c r="G1116" s="218">
        <f>(E1116)/(F1116)</f>
        <v>11666.666666666666</v>
      </c>
      <c r="H1116" s="228"/>
    </row>
    <row r="1117" spans="1:8" ht="17.100000000000001" customHeight="1" x14ac:dyDescent="0.25">
      <c r="A1117" s="199"/>
      <c r="B1117" s="199"/>
      <c r="C1117" s="199"/>
      <c r="D1117" s="199"/>
      <c r="E1117" s="207"/>
      <c r="F1117" s="207"/>
      <c r="G1117" s="207"/>
      <c r="H1117" s="228"/>
    </row>
    <row r="1118" spans="1:8" ht="17.100000000000001" customHeight="1" x14ac:dyDescent="0.25">
      <c r="A1118" s="248"/>
      <c r="E1118" s="208" t="s">
        <v>50</v>
      </c>
      <c r="F1118" s="208"/>
      <c r="G1118" s="208"/>
      <c r="H1118" s="453">
        <f>SUM(G1115)+(G1116)</f>
        <v>25277.777777777777</v>
      </c>
    </row>
    <row r="1119" spans="1:8" ht="17.100000000000001" customHeight="1" x14ac:dyDescent="0.25">
      <c r="A1119" s="206" t="s">
        <v>51</v>
      </c>
      <c r="B1119" s="764" t="s">
        <v>18</v>
      </c>
      <c r="C1119" s="765"/>
      <c r="D1119" s="765"/>
      <c r="E1119" s="765"/>
      <c r="F1119" s="765"/>
      <c r="G1119" s="766"/>
      <c r="H1119" s="228"/>
    </row>
    <row r="1120" spans="1:8" ht="17.100000000000001" customHeight="1" x14ac:dyDescent="0.25">
      <c r="A1120" s="199"/>
      <c r="B1120" s="199" t="s">
        <v>31</v>
      </c>
      <c r="C1120" s="225" t="s">
        <v>12</v>
      </c>
      <c r="D1120" s="225" t="s">
        <v>13</v>
      </c>
      <c r="E1120" s="225" t="s">
        <v>52</v>
      </c>
      <c r="F1120" s="225"/>
      <c r="G1120" s="207" t="s">
        <v>53</v>
      </c>
      <c r="H1120" s="228"/>
    </row>
    <row r="1121" spans="1:8" ht="17.100000000000001" customHeight="1" x14ac:dyDescent="0.25">
      <c r="A1121" s="199"/>
      <c r="B1121" s="199"/>
      <c r="C1121" s="214"/>
      <c r="D1121" s="199"/>
      <c r="E1121" s="207"/>
      <c r="F1121" s="207"/>
      <c r="G1121" s="207"/>
      <c r="H1121" s="228"/>
    </row>
    <row r="1122" spans="1:8" ht="17.100000000000001" customHeight="1" x14ac:dyDescent="0.25">
      <c r="A1122" s="199"/>
      <c r="B1122" s="199"/>
      <c r="C1122" s="210"/>
      <c r="D1122" s="199"/>
      <c r="E1122" s="207"/>
      <c r="F1122" s="207"/>
      <c r="G1122" s="207"/>
      <c r="H1122" s="228"/>
    </row>
    <row r="1123" spans="1:8" ht="17.100000000000001" customHeight="1" x14ac:dyDescent="0.25">
      <c r="A1123" s="199"/>
      <c r="B1123" s="199"/>
      <c r="C1123" s="199"/>
      <c r="D1123" s="199"/>
      <c r="E1123" s="207"/>
      <c r="F1123" s="207"/>
      <c r="G1123" s="207"/>
      <c r="H1123" s="228"/>
    </row>
    <row r="1124" spans="1:8" ht="17.100000000000001" customHeight="1" x14ac:dyDescent="0.25">
      <c r="A1124" s="248"/>
      <c r="E1124" s="208" t="s">
        <v>50</v>
      </c>
      <c r="F1124" s="208"/>
      <c r="G1124" s="208"/>
      <c r="H1124" s="228">
        <f>ROUND(SUM(G1121)+(G1122),0)</f>
        <v>0</v>
      </c>
    </row>
    <row r="1125" spans="1:8" ht="17.100000000000001" customHeight="1" x14ac:dyDescent="0.25">
      <c r="A1125" s="247"/>
      <c r="E1125" s="208"/>
      <c r="F1125" s="208"/>
      <c r="G1125" s="208"/>
      <c r="H1125" s="228"/>
    </row>
    <row r="1126" spans="1:8" ht="17.100000000000001" customHeight="1" x14ac:dyDescent="0.25">
      <c r="A1126" s="247"/>
      <c r="D1126" s="215" t="s">
        <v>54</v>
      </c>
      <c r="E1126" s="216"/>
      <c r="F1126" s="216"/>
      <c r="G1126" s="216"/>
      <c r="H1126" s="453">
        <f>ROUND(SUM(H1103:H1125),2)</f>
        <v>60810.559999999998</v>
      </c>
    </row>
    <row r="1127" spans="1:8" ht="17.100000000000001" customHeight="1" x14ac:dyDescent="0.25">
      <c r="A1127" s="247"/>
      <c r="E1127" s="208"/>
      <c r="F1127" s="208"/>
      <c r="G1127" s="208"/>
      <c r="H1127" s="228"/>
    </row>
    <row r="1128" spans="1:8" ht="17.100000000000001" customHeight="1" x14ac:dyDescent="0.25">
      <c r="A1128" s="206" t="s">
        <v>55</v>
      </c>
      <c r="B1128" s="764" t="s">
        <v>56</v>
      </c>
      <c r="C1128" s="765"/>
      <c r="D1128" s="765"/>
      <c r="E1128" s="765"/>
      <c r="F1128" s="765"/>
      <c r="G1128" s="766"/>
      <c r="H1128" s="228"/>
    </row>
    <row r="1129" spans="1:8" ht="17.100000000000001" customHeight="1" x14ac:dyDescent="0.25">
      <c r="A1129" s="225"/>
      <c r="B1129" s="225" t="s">
        <v>31</v>
      </c>
      <c r="C1129" s="225" t="s">
        <v>57</v>
      </c>
      <c r="D1129" s="199" t="s">
        <v>58</v>
      </c>
      <c r="E1129" s="207"/>
      <c r="F1129" s="207" t="s">
        <v>59</v>
      </c>
      <c r="G1129" s="207"/>
      <c r="H1129" s="228"/>
    </row>
    <row r="1130" spans="1:8" ht="17.100000000000001" customHeight="1" x14ac:dyDescent="0.25">
      <c r="A1130" s="199"/>
      <c r="B1130" s="225" t="s">
        <v>60</v>
      </c>
      <c r="C1130" s="212">
        <v>0.28000000000000003</v>
      </c>
      <c r="D1130" s="199"/>
      <c r="E1130" s="210"/>
      <c r="F1130" s="199"/>
      <c r="G1130" s="218">
        <f>+H1126*C1130</f>
        <v>17026.9568</v>
      </c>
      <c r="H1130" s="228"/>
    </row>
    <row r="1131" spans="1:8" ht="17.100000000000001" customHeight="1" x14ac:dyDescent="0.25">
      <c r="A1131" s="199"/>
      <c r="B1131" s="225" t="s">
        <v>61</v>
      </c>
      <c r="C1131" s="212">
        <v>0.01</v>
      </c>
      <c r="D1131" s="199"/>
      <c r="E1131" s="210"/>
      <c r="F1131" s="199"/>
      <c r="G1131" s="218">
        <f>+H1126*C1131</f>
        <v>608.10559999999998</v>
      </c>
      <c r="H1131" s="228"/>
    </row>
    <row r="1132" spans="1:8" ht="17.100000000000001" customHeight="1" x14ac:dyDescent="0.25">
      <c r="A1132" s="199"/>
      <c r="B1132" s="225" t="s">
        <v>62</v>
      </c>
      <c r="C1132" s="212">
        <v>0.03</v>
      </c>
      <c r="D1132" s="199"/>
      <c r="E1132" s="210"/>
      <c r="F1132" s="199"/>
      <c r="G1132" s="218">
        <f>+H1126*C1132</f>
        <v>1824.3167999999998</v>
      </c>
      <c r="H1132" s="228"/>
    </row>
    <row r="1133" spans="1:8" ht="17.100000000000001" customHeight="1" x14ac:dyDescent="0.25">
      <c r="A1133" s="247"/>
      <c r="D1133" s="215" t="s">
        <v>63</v>
      </c>
      <c r="E1133" s="216"/>
      <c r="F1133" s="216"/>
      <c r="G1133" s="216"/>
      <c r="H1133" s="453">
        <f>SUM(G1129:G1132)</f>
        <v>19459.379199999999</v>
      </c>
    </row>
    <row r="1134" spans="1:8" ht="17.100000000000001" customHeight="1" x14ac:dyDescent="0.25">
      <c r="A1134" s="247"/>
      <c r="E1134" s="208"/>
      <c r="F1134" s="208"/>
      <c r="G1134" s="208"/>
      <c r="H1134" s="228"/>
    </row>
    <row r="1135" spans="1:8" ht="17.100000000000001" customHeight="1" x14ac:dyDescent="0.25">
      <c r="A1135" s="247"/>
      <c r="D1135" s="215" t="s">
        <v>64</v>
      </c>
      <c r="E1135" s="216"/>
      <c r="F1135" s="216"/>
      <c r="G1135" s="208"/>
      <c r="H1135" s="453">
        <f>H1126+H1133</f>
        <v>80269.939199999993</v>
      </c>
    </row>
    <row r="1136" spans="1:8" ht="17.100000000000001" customHeight="1" x14ac:dyDescent="0.25">
      <c r="A1136" s="247"/>
      <c r="D1136" s="215"/>
      <c r="E1136" s="216"/>
      <c r="F1136" s="216"/>
      <c r="G1136" s="208"/>
      <c r="H1136" s="228"/>
    </row>
    <row r="1137" spans="1:8" ht="17.100000000000001" customHeight="1" x14ac:dyDescent="0.25">
      <c r="A1137" s="247"/>
      <c r="E1137" s="216"/>
      <c r="F1137" s="216"/>
      <c r="G1137" s="208"/>
      <c r="H1137" s="228"/>
    </row>
    <row r="1138" spans="1:8" ht="17.100000000000001" customHeight="1" x14ac:dyDescent="0.25">
      <c r="A1138" s="205"/>
      <c r="B1138" s="204"/>
      <c r="E1138" s="219"/>
      <c r="F1138" s="220"/>
      <c r="G1138" s="203"/>
      <c r="H1138" s="228"/>
    </row>
    <row r="1139" spans="1:8" ht="17.100000000000001" customHeight="1" x14ac:dyDescent="0.25">
      <c r="A1139" s="249" t="str">
        <f>+A1083</f>
        <v>ING JHON ALEXANDER ARIAS</v>
      </c>
      <c r="B1139" s="217"/>
      <c r="E1139" s="223" t="str">
        <f>E1083</f>
        <v>ARQ. GUILLERMO YAMID VALLEJOS BENAVIDES</v>
      </c>
      <c r="F1139" s="217"/>
      <c r="G1139" s="217"/>
      <c r="H1139" s="455"/>
    </row>
    <row r="1140" spans="1:8" ht="17.100000000000001" customHeight="1" x14ac:dyDescent="0.25">
      <c r="A1140" s="250" t="str">
        <f t="shared" ref="A1140:A1141" si="23">+A1084</f>
        <v>APOYO PROFESIONAL SPOPM</v>
      </c>
      <c r="B1140" s="217"/>
      <c r="E1140" s="217" t="str">
        <f>E1084</f>
        <v>SECRETARIO DE PLANEACION Y OBRAS PUBLICAS</v>
      </c>
      <c r="F1140" s="217"/>
      <c r="G1140" s="217"/>
      <c r="H1140" s="455"/>
    </row>
    <row r="1141" spans="1:8" ht="17.100000000000001" customHeight="1" x14ac:dyDescent="0.25">
      <c r="A1141" s="250" t="str">
        <f t="shared" si="23"/>
        <v>MP 111037-0703225 NRÑ</v>
      </c>
      <c r="B1141" s="580"/>
      <c r="C1141" s="579"/>
      <c r="D1141" s="579"/>
      <c r="E1141" s="580" t="str">
        <f>E1085</f>
        <v>SAN MIGUEL - PUTUMAYO</v>
      </c>
      <c r="F1141" s="580"/>
      <c r="G1141" s="580"/>
      <c r="H1141" s="580"/>
    </row>
    <row r="1142" spans="1:8" ht="17.100000000000001" customHeight="1" x14ac:dyDescent="0.25">
      <c r="A1142" s="217"/>
      <c r="B1142" s="217"/>
      <c r="E1142" s="223"/>
      <c r="F1142" s="217"/>
      <c r="G1142" s="217"/>
      <c r="H1142" s="217"/>
    </row>
    <row r="1143" spans="1:8" ht="17.100000000000001" customHeight="1" x14ac:dyDescent="0.3">
      <c r="A1143" s="705"/>
      <c r="B1143" s="706"/>
      <c r="C1143" s="638" t="s">
        <v>224</v>
      </c>
      <c r="D1143" s="625" t="s">
        <v>225</v>
      </c>
      <c r="E1143" s="626"/>
      <c r="F1143" s="275">
        <v>103</v>
      </c>
      <c r="G1143" s="711"/>
      <c r="H1143" s="711"/>
    </row>
    <row r="1144" spans="1:8" ht="17.100000000000001" customHeight="1" x14ac:dyDescent="0.25">
      <c r="A1144" s="707"/>
      <c r="B1144" s="708"/>
      <c r="C1144" s="639"/>
      <c r="D1144" s="634" t="s">
        <v>195</v>
      </c>
      <c r="E1144" s="635"/>
      <c r="F1144" s="712">
        <v>51</v>
      </c>
      <c r="G1144" s="711"/>
      <c r="H1144" s="711"/>
    </row>
    <row r="1145" spans="1:8" ht="17.100000000000001" customHeight="1" x14ac:dyDescent="0.25">
      <c r="A1145" s="707"/>
      <c r="B1145" s="708"/>
      <c r="C1145" s="307" t="s">
        <v>196</v>
      </c>
      <c r="D1145" s="636"/>
      <c r="E1145" s="637"/>
      <c r="F1145" s="713"/>
      <c r="G1145" s="711"/>
      <c r="H1145" s="711"/>
    </row>
    <row r="1146" spans="1:8" ht="17.100000000000001" customHeight="1" x14ac:dyDescent="0.25">
      <c r="A1146" s="707"/>
      <c r="B1146" s="708"/>
      <c r="C1146" s="308" t="s">
        <v>197</v>
      </c>
      <c r="D1146" s="640" t="s">
        <v>198</v>
      </c>
      <c r="E1146" s="641"/>
      <c r="F1146" s="309">
        <v>1</v>
      </c>
      <c r="G1146" s="711"/>
      <c r="H1146" s="711"/>
    </row>
    <row r="1147" spans="1:8" ht="17.100000000000001" customHeight="1" x14ac:dyDescent="0.25">
      <c r="A1147" s="707"/>
      <c r="B1147" s="708"/>
      <c r="C1147" s="714" t="s">
        <v>199</v>
      </c>
      <c r="D1147" s="716" t="s">
        <v>200</v>
      </c>
      <c r="E1147" s="717"/>
      <c r="F1147" s="307" t="s">
        <v>201</v>
      </c>
      <c r="G1147" s="711"/>
      <c r="H1147" s="711"/>
    </row>
    <row r="1148" spans="1:8" ht="17.100000000000001" customHeight="1" x14ac:dyDescent="0.25">
      <c r="A1148" s="709"/>
      <c r="B1148" s="710"/>
      <c r="C1148" s="715"/>
      <c r="D1148" s="718"/>
      <c r="E1148" s="719"/>
      <c r="F1148" s="310">
        <v>44216</v>
      </c>
      <c r="G1148" s="711"/>
      <c r="H1148" s="711"/>
    </row>
    <row r="1149" spans="1:8" ht="17.100000000000001" customHeight="1" thickBot="1" x14ac:dyDescent="0.3">
      <c r="A1149" s="720"/>
      <c r="B1149" s="721"/>
      <c r="C1149" s="721"/>
      <c r="D1149" s="721"/>
      <c r="E1149" s="721"/>
      <c r="F1149" s="721"/>
      <c r="G1149" s="721"/>
      <c r="H1149" s="722"/>
    </row>
    <row r="1150" spans="1:8" ht="17.100000000000001" customHeight="1" x14ac:dyDescent="0.25">
      <c r="A1150" s="723" t="str">
        <f>A1094</f>
        <v>ADECUACION Y MEJORAMIENTO DE AULAS ESCOLARES UBICADA EN LA INSTITUCION EDUCATIVA TECNICO COMERCIAL LA DORADA SEDE ESCUELA CENTRAL DEL MUNICIPIO DE SAN MIGUEL PUTUMAYO</v>
      </c>
      <c r="B1150" s="724"/>
      <c r="C1150" s="724"/>
      <c r="D1150" s="724"/>
      <c r="E1150" s="724"/>
      <c r="F1150" s="724"/>
      <c r="G1150" s="724"/>
      <c r="H1150" s="725"/>
    </row>
    <row r="1151" spans="1:8" ht="17.100000000000001" customHeight="1" thickBot="1" x14ac:dyDescent="0.3">
      <c r="A1151" s="726"/>
      <c r="B1151" s="727"/>
      <c r="C1151" s="727"/>
      <c r="D1151" s="727"/>
      <c r="E1151" s="727"/>
      <c r="F1151" s="727"/>
      <c r="G1151" s="727"/>
      <c r="H1151" s="728"/>
    </row>
    <row r="1152" spans="1:8" ht="17.100000000000001" customHeight="1" thickBot="1" x14ac:dyDescent="0.3">
      <c r="A1152" s="273"/>
      <c r="B1152" s="274"/>
      <c r="C1152" s="274"/>
      <c r="D1152" s="274"/>
      <c r="E1152" s="274"/>
      <c r="F1152" s="274"/>
      <c r="G1152" s="274"/>
      <c r="H1152" s="447"/>
    </row>
    <row r="1153" spans="1:8" ht="17.100000000000001" customHeight="1" thickBot="1" x14ac:dyDescent="0.3">
      <c r="A1153" s="729" t="s">
        <v>26</v>
      </c>
      <c r="B1153" s="730"/>
      <c r="C1153" s="730"/>
      <c r="D1153" s="730"/>
      <c r="E1153" s="730"/>
      <c r="F1153" s="730"/>
      <c r="G1153" s="730"/>
      <c r="H1153" s="731"/>
    </row>
    <row r="1154" spans="1:8" ht="17.100000000000001" customHeight="1" thickBot="1" x14ac:dyDescent="0.3">
      <c r="A1154" s="247"/>
      <c r="H1154" s="244"/>
    </row>
    <row r="1155" spans="1:8" ht="17.100000000000001" customHeight="1" thickBot="1" x14ac:dyDescent="0.3">
      <c r="A1155" s="500">
        <f>+Presupuesto!A41</f>
        <v>4.3</v>
      </c>
      <c r="B1155" s="748" t="str">
        <f>+Presupuesto!B41</f>
        <v>SUMINISTRO E INSTALACION DE CABALLETE</v>
      </c>
      <c r="C1155" s="749"/>
      <c r="D1155" s="749"/>
      <c r="E1155" s="749"/>
      <c r="F1155" s="750"/>
      <c r="G1155" s="501" t="s">
        <v>28</v>
      </c>
      <c r="H1155" s="502" t="str">
        <f>+Presupuesto!D41</f>
        <v>UND</v>
      </c>
    </row>
    <row r="1156" spans="1:8" ht="17.100000000000001" customHeight="1" x14ac:dyDescent="0.25">
      <c r="A1156" s="247"/>
      <c r="H1156" s="244"/>
    </row>
    <row r="1157" spans="1:8" ht="17.100000000000001" customHeight="1" x14ac:dyDescent="0.25">
      <c r="A1157" s="206" t="s">
        <v>29</v>
      </c>
      <c r="B1157" s="704" t="s">
        <v>30</v>
      </c>
      <c r="C1157" s="704"/>
      <c r="D1157" s="704"/>
      <c r="E1157" s="704"/>
      <c r="F1157" s="704"/>
      <c r="G1157" s="704"/>
      <c r="H1157" s="244"/>
    </row>
    <row r="1158" spans="1:8" ht="17.100000000000001" customHeight="1" x14ac:dyDescent="0.25">
      <c r="A1158" s="225"/>
      <c r="B1158" s="735" t="s">
        <v>31</v>
      </c>
      <c r="C1158" s="736"/>
      <c r="D1158" s="225" t="s">
        <v>32</v>
      </c>
      <c r="E1158" s="225" t="s">
        <v>33</v>
      </c>
      <c r="F1158" s="225" t="s">
        <v>34</v>
      </c>
      <c r="G1158" s="225" t="s">
        <v>35</v>
      </c>
      <c r="H1158" s="244"/>
    </row>
    <row r="1159" spans="1:8" ht="17.100000000000001" customHeight="1" x14ac:dyDescent="0.25">
      <c r="A1159" s="199"/>
      <c r="B1159" s="737" t="s">
        <v>67</v>
      </c>
      <c r="C1159" s="738"/>
      <c r="D1159" s="199"/>
      <c r="E1159" s="207"/>
      <c r="F1159" s="207">
        <v>0.1</v>
      </c>
      <c r="G1159" s="218">
        <f>H1176*F1159</f>
        <v>369.44444444444446</v>
      </c>
      <c r="H1159" s="245"/>
    </row>
    <row r="1160" spans="1:8" ht="17.100000000000001" customHeight="1" x14ac:dyDescent="0.25">
      <c r="A1160" s="199"/>
      <c r="B1160" s="737" t="s">
        <v>330</v>
      </c>
      <c r="C1160" s="738"/>
      <c r="D1160" s="199" t="s">
        <v>277</v>
      </c>
      <c r="E1160" s="207">
        <v>2700</v>
      </c>
      <c r="F1160" s="207">
        <v>0.15</v>
      </c>
      <c r="G1160" s="207">
        <f>E1160*F1160</f>
        <v>405</v>
      </c>
      <c r="H1160" s="245"/>
    </row>
    <row r="1161" spans="1:8" ht="17.100000000000001" customHeight="1" x14ac:dyDescent="0.25">
      <c r="A1161" s="199"/>
      <c r="B1161" s="735"/>
      <c r="C1161" s="736"/>
      <c r="D1161" s="199"/>
      <c r="E1161" s="207"/>
      <c r="F1161" s="207"/>
      <c r="G1161" s="207"/>
      <c r="H1161" s="228"/>
    </row>
    <row r="1162" spans="1:8" ht="17.100000000000001" customHeight="1" x14ac:dyDescent="0.25">
      <c r="A1162" s="248"/>
      <c r="E1162" s="208" t="s">
        <v>36</v>
      </c>
      <c r="F1162" s="208"/>
      <c r="G1162" s="208"/>
      <c r="H1162" s="370">
        <f>SUM(G1159:G1161)</f>
        <v>774.44444444444446</v>
      </c>
    </row>
    <row r="1163" spans="1:8" ht="17.100000000000001" customHeight="1" x14ac:dyDescent="0.25">
      <c r="A1163" s="206" t="s">
        <v>37</v>
      </c>
      <c r="B1163" s="704" t="s">
        <v>38</v>
      </c>
      <c r="C1163" s="704"/>
      <c r="D1163" s="704"/>
      <c r="E1163" s="704"/>
      <c r="F1163" s="704"/>
      <c r="G1163" s="704"/>
      <c r="H1163" s="228"/>
    </row>
    <row r="1164" spans="1:8" ht="17.100000000000001" customHeight="1" x14ac:dyDescent="0.25">
      <c r="A1164" s="225"/>
      <c r="B1164" s="735" t="s">
        <v>31</v>
      </c>
      <c r="C1164" s="736"/>
      <c r="D1164" s="199" t="s">
        <v>12</v>
      </c>
      <c r="E1164" s="209" t="s">
        <v>39</v>
      </c>
      <c r="F1164" s="209" t="s">
        <v>40</v>
      </c>
      <c r="G1164" s="209" t="s">
        <v>35</v>
      </c>
      <c r="H1164" s="228"/>
    </row>
    <row r="1165" spans="1:8" ht="17.100000000000001" customHeight="1" x14ac:dyDescent="0.25">
      <c r="A1165" s="199"/>
      <c r="B1165" s="751" t="s">
        <v>400</v>
      </c>
      <c r="C1165" s="752"/>
      <c r="D1165" s="221" t="s">
        <v>76</v>
      </c>
      <c r="E1165" s="207">
        <v>1</v>
      </c>
      <c r="F1165" s="207">
        <v>45000</v>
      </c>
      <c r="G1165" s="207">
        <f>E1165*F1165</f>
        <v>45000</v>
      </c>
      <c r="H1165" s="228"/>
    </row>
    <row r="1166" spans="1:8" ht="17.100000000000001" customHeight="1" x14ac:dyDescent="0.25">
      <c r="A1166" s="199"/>
      <c r="B1166" s="739" t="s">
        <v>401</v>
      </c>
      <c r="C1166" s="740"/>
      <c r="D1166" s="221" t="s">
        <v>76</v>
      </c>
      <c r="E1166" s="207">
        <v>8</v>
      </c>
      <c r="F1166" s="207">
        <v>900</v>
      </c>
      <c r="G1166" s="207">
        <f>E1166*F1166</f>
        <v>7200</v>
      </c>
      <c r="H1166" s="228"/>
    </row>
    <row r="1167" spans="1:8" ht="17.100000000000001" customHeight="1" x14ac:dyDescent="0.25">
      <c r="A1167" s="199"/>
      <c r="B1167" s="739"/>
      <c r="C1167" s="740"/>
      <c r="D1167" s="221"/>
      <c r="E1167" s="221"/>
      <c r="F1167" s="207"/>
      <c r="G1167" s="207"/>
      <c r="H1167" s="228"/>
    </row>
    <row r="1168" spans="1:8" ht="17.100000000000001" customHeight="1" x14ac:dyDescent="0.25">
      <c r="A1168" s="199"/>
      <c r="B1168" s="739"/>
      <c r="C1168" s="740"/>
      <c r="D1168" s="199"/>
      <c r="E1168" s="207"/>
      <c r="F1168" s="207"/>
      <c r="G1168" s="207"/>
      <c r="H1168" s="228"/>
    </row>
    <row r="1169" spans="1:8" ht="17.100000000000001" customHeight="1" x14ac:dyDescent="0.25">
      <c r="A1169" s="199"/>
      <c r="B1169" s="746"/>
      <c r="C1169" s="747"/>
      <c r="D1169" s="199"/>
      <c r="E1169" s="207"/>
      <c r="F1169" s="207"/>
      <c r="G1169" s="207"/>
      <c r="H1169" s="228"/>
    </row>
    <row r="1170" spans="1:8" ht="17.100000000000001" customHeight="1" x14ac:dyDescent="0.25">
      <c r="A1170" s="248" t="s">
        <v>41</v>
      </c>
      <c r="E1170" s="208" t="s">
        <v>42</v>
      </c>
      <c r="F1170" s="208"/>
      <c r="G1170" s="208"/>
      <c r="H1170" s="454">
        <f>(SUM(G1165:G1167))</f>
        <v>52200</v>
      </c>
    </row>
    <row r="1171" spans="1:8" ht="17.100000000000001" customHeight="1" x14ac:dyDescent="0.25">
      <c r="A1171" s="206" t="s">
        <v>43</v>
      </c>
      <c r="B1171" s="704" t="s">
        <v>44</v>
      </c>
      <c r="C1171" s="704"/>
      <c r="D1171" s="704"/>
      <c r="E1171" s="704"/>
      <c r="F1171" s="704"/>
      <c r="G1171" s="704"/>
      <c r="H1171" s="228"/>
    </row>
    <row r="1172" spans="1:8" ht="17.100000000000001" customHeight="1" x14ac:dyDescent="0.25">
      <c r="A1172" s="393" t="s">
        <v>45</v>
      </c>
      <c r="B1172" s="225" t="s">
        <v>31</v>
      </c>
      <c r="C1172" s="225" t="s">
        <v>46</v>
      </c>
      <c r="D1172" s="225" t="s">
        <v>47</v>
      </c>
      <c r="E1172" s="209" t="s">
        <v>48</v>
      </c>
      <c r="F1172" s="207" t="s">
        <v>34</v>
      </c>
      <c r="G1172" s="207" t="s">
        <v>35</v>
      </c>
      <c r="H1172" s="228"/>
    </row>
    <row r="1173" spans="1:8" ht="17.100000000000001" customHeight="1" x14ac:dyDescent="0.25">
      <c r="A1173" s="199">
        <v>1</v>
      </c>
      <c r="B1173" s="199" t="s">
        <v>189</v>
      </c>
      <c r="C1173" s="211">
        <v>70000</v>
      </c>
      <c r="D1173" s="212">
        <v>0.75</v>
      </c>
      <c r="E1173" s="210">
        <f>+(A1173*C1173)+(A1173*C1173*D1173)</f>
        <v>122500</v>
      </c>
      <c r="F1173" s="213">
        <v>90</v>
      </c>
      <c r="G1173" s="218">
        <f>(E1173)/(F1173)</f>
        <v>1361.1111111111111</v>
      </c>
      <c r="H1173" s="228"/>
    </row>
    <row r="1174" spans="1:8" ht="17.100000000000001" customHeight="1" x14ac:dyDescent="0.25">
      <c r="A1174" s="199">
        <v>1</v>
      </c>
      <c r="B1174" s="199" t="s">
        <v>233</v>
      </c>
      <c r="C1174" s="211">
        <v>120000</v>
      </c>
      <c r="D1174" s="212">
        <v>0.75</v>
      </c>
      <c r="E1174" s="210">
        <f>+(A1174*C1174)+(A1174*C1174*D1174)</f>
        <v>210000</v>
      </c>
      <c r="F1174" s="213">
        <v>90</v>
      </c>
      <c r="G1174" s="218">
        <f>(E1174)/(F1174)</f>
        <v>2333.3333333333335</v>
      </c>
      <c r="H1174" s="228"/>
    </row>
    <row r="1175" spans="1:8" ht="17.100000000000001" customHeight="1" x14ac:dyDescent="0.25">
      <c r="A1175" s="199"/>
      <c r="B1175" s="199"/>
      <c r="C1175" s="199"/>
      <c r="D1175" s="199"/>
      <c r="E1175" s="207"/>
      <c r="F1175" s="207"/>
      <c r="G1175" s="207"/>
      <c r="H1175" s="228"/>
    </row>
    <row r="1176" spans="1:8" ht="17.100000000000001" customHeight="1" x14ac:dyDescent="0.25">
      <c r="A1176" s="248"/>
      <c r="E1176" s="208" t="s">
        <v>50</v>
      </c>
      <c r="F1176" s="208"/>
      <c r="G1176" s="208"/>
      <c r="H1176" s="453">
        <f>SUM(G1173)+(G1174)</f>
        <v>3694.4444444444443</v>
      </c>
    </row>
    <row r="1177" spans="1:8" ht="17.100000000000001" customHeight="1" x14ac:dyDescent="0.25">
      <c r="A1177" s="206" t="s">
        <v>51</v>
      </c>
      <c r="B1177" s="704" t="s">
        <v>18</v>
      </c>
      <c r="C1177" s="704"/>
      <c r="D1177" s="704"/>
      <c r="E1177" s="704"/>
      <c r="F1177" s="704"/>
      <c r="G1177" s="704"/>
      <c r="H1177" s="228"/>
    </row>
    <row r="1178" spans="1:8" ht="17.100000000000001" customHeight="1" x14ac:dyDescent="0.25">
      <c r="A1178" s="199"/>
      <c r="B1178" s="199" t="s">
        <v>31</v>
      </c>
      <c r="C1178" s="225" t="s">
        <v>12</v>
      </c>
      <c r="D1178" s="225" t="s">
        <v>13</v>
      </c>
      <c r="E1178" s="225" t="s">
        <v>52</v>
      </c>
      <c r="F1178" s="225"/>
      <c r="G1178" s="207" t="s">
        <v>53</v>
      </c>
      <c r="H1178" s="228"/>
    </row>
    <row r="1179" spans="1:8" ht="17.100000000000001" customHeight="1" x14ac:dyDescent="0.25">
      <c r="A1179" s="199"/>
      <c r="B1179" s="199"/>
      <c r="C1179" s="214"/>
      <c r="D1179" s="199"/>
      <c r="E1179" s="207"/>
      <c r="F1179" s="207"/>
      <c r="G1179" s="207"/>
      <c r="H1179" s="228"/>
    </row>
    <row r="1180" spans="1:8" ht="17.100000000000001" customHeight="1" x14ac:dyDescent="0.25">
      <c r="A1180" s="199"/>
      <c r="B1180" s="199"/>
      <c r="C1180" s="210"/>
      <c r="D1180" s="199"/>
      <c r="E1180" s="207"/>
      <c r="F1180" s="207"/>
      <c r="G1180" s="207"/>
      <c r="H1180" s="228"/>
    </row>
    <row r="1181" spans="1:8" ht="17.100000000000001" customHeight="1" x14ac:dyDescent="0.25">
      <c r="A1181" s="199"/>
      <c r="B1181" s="199"/>
      <c r="C1181" s="199"/>
      <c r="D1181" s="199"/>
      <c r="E1181" s="207"/>
      <c r="F1181" s="207"/>
      <c r="G1181" s="207"/>
      <c r="H1181" s="228"/>
    </row>
    <row r="1182" spans="1:8" ht="17.100000000000001" customHeight="1" x14ac:dyDescent="0.25">
      <c r="A1182" s="248"/>
      <c r="E1182" s="208" t="s">
        <v>50</v>
      </c>
      <c r="F1182" s="208"/>
      <c r="G1182" s="208"/>
      <c r="H1182" s="228">
        <f>ROUND(SUM(G1179)+(G1180),0)</f>
        <v>0</v>
      </c>
    </row>
    <row r="1183" spans="1:8" ht="17.100000000000001" customHeight="1" x14ac:dyDescent="0.25">
      <c r="A1183" s="247"/>
      <c r="E1183" s="208"/>
      <c r="F1183" s="208"/>
      <c r="G1183" s="208"/>
      <c r="H1183" s="228"/>
    </row>
    <row r="1184" spans="1:8" ht="17.100000000000001" customHeight="1" x14ac:dyDescent="0.25">
      <c r="A1184" s="247"/>
      <c r="D1184" s="215" t="s">
        <v>54</v>
      </c>
      <c r="E1184" s="216"/>
      <c r="F1184" s="216"/>
      <c r="G1184" s="216"/>
      <c r="H1184" s="453">
        <f>ROUND(SUM(H1162:H1183),2)</f>
        <v>56668.89</v>
      </c>
    </row>
    <row r="1185" spans="1:27" ht="17.100000000000001" customHeight="1" x14ac:dyDescent="0.25">
      <c r="A1185" s="247"/>
      <c r="E1185" s="208"/>
      <c r="F1185" s="208"/>
      <c r="G1185" s="208"/>
      <c r="H1185" s="228"/>
    </row>
    <row r="1186" spans="1:27" ht="17.100000000000001" customHeight="1" x14ac:dyDescent="0.25">
      <c r="A1186" s="206" t="s">
        <v>55</v>
      </c>
      <c r="B1186" s="704" t="s">
        <v>56</v>
      </c>
      <c r="C1186" s="704"/>
      <c r="D1186" s="704"/>
      <c r="E1186" s="704"/>
      <c r="F1186" s="704"/>
      <c r="G1186" s="704"/>
      <c r="H1186" s="228"/>
    </row>
    <row r="1187" spans="1:27" ht="17.100000000000001" customHeight="1" x14ac:dyDescent="0.25">
      <c r="A1187" s="225"/>
      <c r="B1187" s="225" t="s">
        <v>31</v>
      </c>
      <c r="C1187" s="225" t="s">
        <v>57</v>
      </c>
      <c r="D1187" s="199" t="s">
        <v>58</v>
      </c>
      <c r="E1187" s="207"/>
      <c r="F1187" s="207" t="s">
        <v>59</v>
      </c>
      <c r="G1187" s="207"/>
      <c r="H1187" s="228"/>
    </row>
    <row r="1188" spans="1:27" ht="17.100000000000001" customHeight="1" x14ac:dyDescent="0.25">
      <c r="A1188" s="199"/>
      <c r="B1188" s="225" t="s">
        <v>60</v>
      </c>
      <c r="C1188" s="212">
        <v>0.28000000000000003</v>
      </c>
      <c r="D1188" s="199"/>
      <c r="E1188" s="210"/>
      <c r="F1188" s="199"/>
      <c r="G1188" s="218">
        <f>+H1184*C1188</f>
        <v>15867.289200000001</v>
      </c>
      <c r="H1188" s="228"/>
    </row>
    <row r="1189" spans="1:27" ht="17.100000000000001" customHeight="1" x14ac:dyDescent="0.25">
      <c r="A1189" s="199"/>
      <c r="B1189" s="225" t="s">
        <v>61</v>
      </c>
      <c r="C1189" s="212">
        <v>0.01</v>
      </c>
      <c r="D1189" s="199"/>
      <c r="E1189" s="210"/>
      <c r="F1189" s="199"/>
      <c r="G1189" s="218">
        <f>+H1184*C1189</f>
        <v>566.68889999999999</v>
      </c>
      <c r="H1189" s="228"/>
    </row>
    <row r="1190" spans="1:27" ht="17.100000000000001" customHeight="1" x14ac:dyDescent="0.25">
      <c r="A1190" s="199"/>
      <c r="B1190" s="225" t="s">
        <v>62</v>
      </c>
      <c r="C1190" s="212">
        <v>0.03</v>
      </c>
      <c r="D1190" s="199"/>
      <c r="E1190" s="210"/>
      <c r="F1190" s="199"/>
      <c r="G1190" s="218">
        <f>+H1184*C1190</f>
        <v>1700.0666999999999</v>
      </c>
      <c r="H1190" s="228"/>
    </row>
    <row r="1191" spans="1:27" ht="17.100000000000001" customHeight="1" x14ac:dyDescent="0.25">
      <c r="A1191" s="247"/>
      <c r="D1191" s="215" t="s">
        <v>63</v>
      </c>
      <c r="E1191" s="216"/>
      <c r="F1191" s="216"/>
      <c r="G1191" s="216"/>
      <c r="H1191" s="453">
        <f>SUM(G1187:G1190)</f>
        <v>18134.0448</v>
      </c>
    </row>
    <row r="1192" spans="1:27" ht="17.100000000000001" customHeight="1" x14ac:dyDescent="0.25">
      <c r="A1192" s="247"/>
      <c r="E1192" s="208"/>
      <c r="F1192" s="208"/>
      <c r="G1192" s="208"/>
      <c r="H1192" s="228"/>
    </row>
    <row r="1193" spans="1:27" ht="17.100000000000001" customHeight="1" x14ac:dyDescent="0.25">
      <c r="A1193" s="247"/>
      <c r="D1193" s="215" t="s">
        <v>64</v>
      </c>
      <c r="E1193" s="216"/>
      <c r="F1193" s="216"/>
      <c r="G1193" s="208"/>
      <c r="H1193" s="453">
        <f>H1184+H1191</f>
        <v>74802.934800000003</v>
      </c>
    </row>
    <row r="1194" spans="1:27" ht="17.100000000000001" customHeight="1" x14ac:dyDescent="0.25">
      <c r="A1194" s="247"/>
      <c r="D1194" s="215"/>
      <c r="E1194" s="216"/>
      <c r="F1194" s="216"/>
      <c r="G1194" s="208"/>
      <c r="H1194" s="228"/>
    </row>
    <row r="1195" spans="1:27" ht="17.100000000000001" customHeight="1" x14ac:dyDescent="0.25">
      <c r="A1195" s="205"/>
      <c r="B1195" s="204"/>
      <c r="E1195" s="219"/>
      <c r="F1195" s="220"/>
      <c r="G1195" s="203"/>
      <c r="H1195" s="228"/>
    </row>
    <row r="1196" spans="1:27" ht="17.100000000000001" customHeight="1" x14ac:dyDescent="0.25">
      <c r="A1196" s="249" t="str">
        <f>+A1139</f>
        <v>ING JHON ALEXANDER ARIAS</v>
      </c>
      <c r="B1196" s="217"/>
      <c r="E1196" s="216" t="str">
        <f>+E1139</f>
        <v>ARQ. GUILLERMO YAMID VALLEJOS BENAVIDES</v>
      </c>
      <c r="F1196" s="208"/>
      <c r="G1196" s="208"/>
      <c r="H1196" s="228"/>
    </row>
    <row r="1197" spans="1:27" ht="17.100000000000001" customHeight="1" x14ac:dyDescent="0.25">
      <c r="A1197" s="250" t="str">
        <f t="shared" ref="A1197:A1198" si="24">+A1140</f>
        <v>APOYO PROFESIONAL SPOPM</v>
      </c>
      <c r="B1197" s="217"/>
      <c r="E1197" s="208" t="str">
        <f t="shared" ref="E1197:E1198" si="25">+E1140</f>
        <v>SECRETARIO DE PLANEACION Y OBRAS PUBLICAS</v>
      </c>
      <c r="F1197" s="581"/>
      <c r="G1197" s="581"/>
      <c r="H1197" s="583"/>
    </row>
    <row r="1198" spans="1:27" ht="17.100000000000001" customHeight="1" x14ac:dyDescent="0.25">
      <c r="A1198" s="250" t="str">
        <f t="shared" si="24"/>
        <v>MP 111037-0703225 NRÑ</v>
      </c>
      <c r="B1198" s="217"/>
      <c r="E1198" s="208" t="str">
        <f t="shared" si="25"/>
        <v>SAN MIGUEL - PUTUMAYO</v>
      </c>
      <c r="F1198" s="581"/>
      <c r="G1198" s="581"/>
      <c r="H1198" s="581"/>
    </row>
    <row r="1199" spans="1:27" ht="17.100000000000001" customHeight="1" x14ac:dyDescent="0.25">
      <c r="A1199" s="217"/>
      <c r="B1199" s="217"/>
      <c r="E1199" s="223"/>
      <c r="F1199" s="217"/>
      <c r="G1199" s="217"/>
      <c r="H1199" s="217"/>
    </row>
    <row r="1200" spans="1:27" ht="17.100000000000001" customHeight="1" x14ac:dyDescent="0.3">
      <c r="A1200" s="705"/>
      <c r="B1200" s="706"/>
      <c r="C1200" s="638" t="s">
        <v>224</v>
      </c>
      <c r="D1200" s="625" t="s">
        <v>225</v>
      </c>
      <c r="E1200" s="626"/>
      <c r="F1200" s="275">
        <v>103</v>
      </c>
      <c r="G1200" s="711"/>
      <c r="H1200" s="711"/>
      <c r="Q1200"/>
      <c r="R1200"/>
      <c r="S1200"/>
      <c r="T1200"/>
      <c r="U1200"/>
      <c r="V1200"/>
      <c r="W1200"/>
      <c r="X1200"/>
      <c r="Y1200"/>
      <c r="Z1200"/>
      <c r="AA1200"/>
    </row>
    <row r="1201" spans="1:27" ht="17.100000000000001" customHeight="1" x14ac:dyDescent="0.3">
      <c r="A1201" s="707"/>
      <c r="B1201" s="708"/>
      <c r="C1201" s="639"/>
      <c r="D1201" s="634" t="s">
        <v>195</v>
      </c>
      <c r="E1201" s="635"/>
      <c r="F1201" s="712">
        <v>51</v>
      </c>
      <c r="G1201" s="711"/>
      <c r="H1201" s="71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7.100000000000001" customHeight="1" x14ac:dyDescent="0.3">
      <c r="A1202" s="707"/>
      <c r="B1202" s="708"/>
      <c r="C1202" s="307" t="s">
        <v>196</v>
      </c>
      <c r="D1202" s="636"/>
      <c r="E1202" s="637"/>
      <c r="F1202" s="713"/>
      <c r="G1202" s="711"/>
      <c r="H1202" s="711"/>
      <c r="Q1202"/>
      <c r="R1202"/>
      <c r="S1202"/>
      <c r="T1202"/>
      <c r="U1202"/>
      <c r="V1202"/>
      <c r="W1202"/>
      <c r="X1202"/>
      <c r="Y1202"/>
      <c r="Z1202"/>
      <c r="AA1202"/>
    </row>
    <row r="1203" spans="1:27" ht="17.100000000000001" customHeight="1" x14ac:dyDescent="0.3">
      <c r="A1203" s="707"/>
      <c r="B1203" s="708"/>
      <c r="C1203" s="308" t="s">
        <v>197</v>
      </c>
      <c r="D1203" s="640" t="s">
        <v>198</v>
      </c>
      <c r="E1203" s="641"/>
      <c r="F1203" s="309">
        <v>1</v>
      </c>
      <c r="G1203" s="711"/>
      <c r="H1203" s="711"/>
      <c r="Q1203"/>
      <c r="R1203"/>
      <c r="S1203"/>
      <c r="T1203"/>
      <c r="U1203"/>
      <c r="V1203"/>
      <c r="W1203"/>
      <c r="X1203"/>
      <c r="Y1203"/>
      <c r="Z1203"/>
      <c r="AA1203"/>
    </row>
    <row r="1204" spans="1:27" ht="14.4" x14ac:dyDescent="0.3">
      <c r="A1204" s="707"/>
      <c r="B1204" s="708"/>
      <c r="C1204" s="714" t="s">
        <v>199</v>
      </c>
      <c r="D1204" s="716" t="s">
        <v>200</v>
      </c>
      <c r="E1204" s="717"/>
      <c r="F1204" s="307" t="s">
        <v>201</v>
      </c>
      <c r="G1204" s="711"/>
      <c r="H1204" s="711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7.100000000000001" customHeight="1" x14ac:dyDescent="0.3">
      <c r="A1205" s="709"/>
      <c r="B1205" s="710"/>
      <c r="C1205" s="715"/>
      <c r="D1205" s="718"/>
      <c r="E1205" s="719"/>
      <c r="F1205" s="310">
        <v>44216</v>
      </c>
      <c r="G1205" s="711"/>
      <c r="H1205" s="711"/>
      <c r="Q1205"/>
      <c r="R1205"/>
      <c r="S1205"/>
      <c r="T1205"/>
      <c r="U1205"/>
      <c r="V1205"/>
      <c r="W1205"/>
      <c r="X1205"/>
      <c r="Y1205"/>
      <c r="Z1205"/>
      <c r="AA1205"/>
    </row>
    <row r="1206" spans="1:27" ht="17.100000000000001" customHeight="1" thickBot="1" x14ac:dyDescent="0.35">
      <c r="A1206" s="720"/>
      <c r="B1206" s="721"/>
      <c r="C1206" s="721"/>
      <c r="D1206" s="721"/>
      <c r="E1206" s="721"/>
      <c r="F1206" s="721"/>
      <c r="G1206" s="721"/>
      <c r="H1206" s="722"/>
      <c r="Q1206"/>
      <c r="R1206"/>
      <c r="S1206"/>
      <c r="T1206"/>
      <c r="U1206"/>
      <c r="V1206"/>
      <c r="W1206"/>
      <c r="X1206"/>
      <c r="Y1206"/>
      <c r="Z1206"/>
      <c r="AA1206"/>
    </row>
    <row r="1207" spans="1:27" ht="24.75" customHeight="1" x14ac:dyDescent="0.3">
      <c r="A1207" s="723" t="str">
        <f>+A1094</f>
        <v>ADECUACION Y MEJORAMIENTO DE AULAS ESCOLARES UBICADA EN LA INSTITUCION EDUCATIVA TECNICO COMERCIAL LA DORADA SEDE ESCUELA CENTRAL DEL MUNICIPIO DE SAN MIGUEL PUTUMAYO</v>
      </c>
      <c r="B1207" s="724"/>
      <c r="C1207" s="724"/>
      <c r="D1207" s="724"/>
      <c r="E1207" s="724"/>
      <c r="F1207" s="724"/>
      <c r="G1207" s="724"/>
      <c r="H1207" s="725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8" customHeight="1" thickBot="1" x14ac:dyDescent="0.35">
      <c r="A1208" s="726"/>
      <c r="B1208" s="727"/>
      <c r="C1208" s="727"/>
      <c r="D1208" s="727"/>
      <c r="E1208" s="727"/>
      <c r="F1208" s="727"/>
      <c r="G1208" s="727"/>
      <c r="H1208" s="728"/>
      <c r="Q1208"/>
      <c r="R1208"/>
      <c r="S1208"/>
      <c r="T1208"/>
      <c r="U1208"/>
      <c r="V1208"/>
      <c r="W1208"/>
      <c r="X1208"/>
      <c r="Y1208"/>
      <c r="Z1208"/>
      <c r="AA1208"/>
    </row>
    <row r="1209" spans="1:27" ht="17.100000000000001" customHeight="1" thickBot="1" x14ac:dyDescent="0.35">
      <c r="A1209" s="273"/>
      <c r="B1209" s="274"/>
      <c r="C1209" s="274"/>
      <c r="D1209" s="274"/>
      <c r="E1209" s="274"/>
      <c r="F1209" s="274"/>
      <c r="G1209" s="274"/>
      <c r="H1209" s="447"/>
      <c r="Q1209"/>
      <c r="R1209"/>
      <c r="S1209"/>
      <c r="T1209"/>
      <c r="U1209"/>
      <c r="V1209"/>
      <c r="W1209"/>
      <c r="X1209"/>
      <c r="Y1209"/>
      <c r="Z1209"/>
      <c r="AA1209"/>
    </row>
    <row r="1210" spans="1:27" ht="17.100000000000001" customHeight="1" thickBot="1" x14ac:dyDescent="0.35">
      <c r="A1210" s="729" t="s">
        <v>26</v>
      </c>
      <c r="B1210" s="730"/>
      <c r="C1210" s="730"/>
      <c r="D1210" s="730"/>
      <c r="E1210" s="730"/>
      <c r="F1210" s="730"/>
      <c r="G1210" s="730"/>
      <c r="H1210" s="731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7.100000000000001" customHeight="1" thickBot="1" x14ac:dyDescent="0.35">
      <c r="A1211" s="247"/>
      <c r="H1211" s="244"/>
      <c r="Q1211"/>
      <c r="R1211"/>
      <c r="S1211"/>
      <c r="T1211"/>
      <c r="U1211"/>
      <c r="V1211"/>
      <c r="W1211"/>
      <c r="X1211"/>
      <c r="Y1211"/>
      <c r="Z1211"/>
      <c r="AA1211"/>
    </row>
    <row r="1212" spans="1:27" ht="17.100000000000001" customHeight="1" thickBot="1" x14ac:dyDescent="0.35">
      <c r="A1212" s="351">
        <f>Presupuesto!A44</f>
        <v>5.0999999999999996</v>
      </c>
      <c r="B1212" s="732" t="str">
        <f>Presupuesto!B44</f>
        <v>SUMINISTRO Y APLICACIÓN ESTUCO PLASTICO ACRILICO SOBRE MUROS</v>
      </c>
      <c r="C1212" s="733"/>
      <c r="D1212" s="733"/>
      <c r="E1212" s="733"/>
      <c r="F1212" s="734"/>
      <c r="G1212" s="352" t="s">
        <v>28</v>
      </c>
      <c r="H1212" s="452" t="str">
        <f>Presupuesto!D44</f>
        <v>M2</v>
      </c>
      <c r="Q1212"/>
      <c r="R1212"/>
      <c r="S1212"/>
      <c r="T1212"/>
      <c r="U1212"/>
      <c r="V1212"/>
      <c r="W1212"/>
      <c r="X1212"/>
      <c r="Y1212"/>
      <c r="Z1212"/>
      <c r="AA1212"/>
    </row>
    <row r="1213" spans="1:27" ht="17.100000000000001" customHeight="1" x14ac:dyDescent="0.3">
      <c r="A1213" s="247"/>
      <c r="H1213" s="244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7.100000000000001" customHeight="1" x14ac:dyDescent="0.3">
      <c r="A1214" s="206" t="s">
        <v>29</v>
      </c>
      <c r="B1214" s="704" t="s">
        <v>30</v>
      </c>
      <c r="C1214" s="704"/>
      <c r="D1214" s="704"/>
      <c r="E1214" s="704"/>
      <c r="F1214" s="704"/>
      <c r="G1214" s="704"/>
      <c r="H1214" s="244"/>
      <c r="Q1214"/>
      <c r="R1214"/>
      <c r="S1214"/>
      <c r="T1214"/>
      <c r="U1214"/>
      <c r="V1214"/>
      <c r="W1214"/>
      <c r="X1214"/>
      <c r="Y1214"/>
      <c r="Z1214"/>
      <c r="AA1214"/>
    </row>
    <row r="1215" spans="1:27" ht="17.100000000000001" customHeight="1" x14ac:dyDescent="0.3">
      <c r="A1215" s="225"/>
      <c r="B1215" s="735" t="s">
        <v>31</v>
      </c>
      <c r="C1215" s="736"/>
      <c r="D1215" s="225" t="s">
        <v>32</v>
      </c>
      <c r="E1215" s="225" t="s">
        <v>33</v>
      </c>
      <c r="F1215" s="225" t="s">
        <v>34</v>
      </c>
      <c r="G1215" s="225" t="s">
        <v>35</v>
      </c>
      <c r="H1215" s="244"/>
      <c r="Q1215"/>
      <c r="R1215"/>
      <c r="S1215"/>
      <c r="T1215"/>
      <c r="U1215"/>
      <c r="V1215"/>
      <c r="W1215"/>
      <c r="X1215"/>
      <c r="Y1215"/>
      <c r="Z1215"/>
      <c r="AA1215"/>
    </row>
    <row r="1216" spans="1:27" ht="17.100000000000001" customHeight="1" x14ac:dyDescent="0.3">
      <c r="A1216" s="199"/>
      <c r="B1216" s="737" t="s">
        <v>67</v>
      </c>
      <c r="C1216" s="738"/>
      <c r="D1216" s="199"/>
      <c r="E1216" s="207"/>
      <c r="F1216" s="207">
        <v>0.1</v>
      </c>
      <c r="G1216" s="218">
        <f>H1233*F1216</f>
        <v>831.25</v>
      </c>
      <c r="H1216" s="245"/>
      <c r="Q1216"/>
      <c r="R1216"/>
      <c r="S1216"/>
      <c r="T1216"/>
      <c r="U1216"/>
      <c r="V1216"/>
      <c r="W1216"/>
      <c r="X1216"/>
      <c r="Y1216"/>
      <c r="Z1216"/>
      <c r="AA1216"/>
    </row>
    <row r="1217" spans="1:8" ht="17.100000000000001" customHeight="1" x14ac:dyDescent="0.25">
      <c r="A1217" s="199"/>
      <c r="B1217" s="735"/>
      <c r="C1217" s="736"/>
      <c r="D1217" s="199"/>
      <c r="E1217" s="207"/>
      <c r="F1217" s="207"/>
      <c r="G1217" s="207"/>
      <c r="H1217" s="245"/>
    </row>
    <row r="1218" spans="1:8" ht="17.100000000000001" customHeight="1" x14ac:dyDescent="0.25">
      <c r="A1218" s="199"/>
      <c r="B1218" s="735"/>
      <c r="C1218" s="736"/>
      <c r="D1218" s="199"/>
      <c r="E1218" s="207"/>
      <c r="F1218" s="207"/>
      <c r="G1218" s="207"/>
      <c r="H1218" s="228"/>
    </row>
    <row r="1219" spans="1:8" ht="17.100000000000001" customHeight="1" x14ac:dyDescent="0.25">
      <c r="A1219" s="248"/>
      <c r="E1219" s="208" t="s">
        <v>36</v>
      </c>
      <c r="F1219" s="208"/>
      <c r="G1219" s="208"/>
      <c r="H1219" s="370">
        <f>SUM(G1216:G1218)</f>
        <v>831.25</v>
      </c>
    </row>
    <row r="1220" spans="1:8" ht="17.100000000000001" customHeight="1" x14ac:dyDescent="0.25">
      <c r="A1220" s="206" t="s">
        <v>37</v>
      </c>
      <c r="B1220" s="704" t="s">
        <v>38</v>
      </c>
      <c r="C1220" s="704"/>
      <c r="D1220" s="704"/>
      <c r="E1220" s="704"/>
      <c r="F1220" s="704"/>
      <c r="G1220" s="704"/>
      <c r="H1220" s="228"/>
    </row>
    <row r="1221" spans="1:8" ht="17.100000000000001" customHeight="1" x14ac:dyDescent="0.25">
      <c r="A1221" s="225"/>
      <c r="B1221" s="735" t="s">
        <v>31</v>
      </c>
      <c r="C1221" s="736"/>
      <c r="D1221" s="199" t="s">
        <v>12</v>
      </c>
      <c r="E1221" s="209" t="s">
        <v>39</v>
      </c>
      <c r="F1221" s="209" t="s">
        <v>40</v>
      </c>
      <c r="G1221" s="209" t="s">
        <v>35</v>
      </c>
      <c r="H1221" s="228"/>
    </row>
    <row r="1222" spans="1:8" ht="17.100000000000001" customHeight="1" x14ac:dyDescent="0.25">
      <c r="A1222" s="199"/>
      <c r="B1222" s="739" t="s">
        <v>397</v>
      </c>
      <c r="C1222" s="740"/>
      <c r="D1222" s="221" t="s">
        <v>130</v>
      </c>
      <c r="E1222" s="207">
        <v>3</v>
      </c>
      <c r="F1222" s="207">
        <v>15000</v>
      </c>
      <c r="G1222" s="207">
        <f>E1222*F1222</f>
        <v>45000</v>
      </c>
      <c r="H1222" s="228"/>
    </row>
    <row r="1223" spans="1:8" ht="17.100000000000001" customHeight="1" x14ac:dyDescent="0.25">
      <c r="A1223" s="199"/>
      <c r="B1223" s="739"/>
      <c r="C1223" s="740"/>
      <c r="D1223" s="221"/>
      <c r="E1223" s="207"/>
      <c r="F1223" s="207"/>
      <c r="G1223" s="207">
        <f>E1223*F1223</f>
        <v>0</v>
      </c>
      <c r="H1223" s="228"/>
    </row>
    <row r="1224" spans="1:8" ht="17.100000000000001" customHeight="1" x14ac:dyDescent="0.25">
      <c r="A1224" s="199"/>
      <c r="B1224" s="739"/>
      <c r="C1224" s="740"/>
      <c r="D1224" s="221"/>
      <c r="E1224" s="221"/>
      <c r="F1224" s="221"/>
      <c r="G1224" s="207">
        <f>E1224*F1224</f>
        <v>0</v>
      </c>
      <c r="H1224" s="228"/>
    </row>
    <row r="1225" spans="1:8" ht="17.100000000000001" customHeight="1" x14ac:dyDescent="0.25">
      <c r="A1225" s="199"/>
      <c r="B1225" s="746"/>
      <c r="C1225" s="747"/>
      <c r="D1225" s="199"/>
      <c r="E1225" s="207"/>
      <c r="F1225" s="207"/>
      <c r="G1225" s="207"/>
      <c r="H1225" s="228"/>
    </row>
    <row r="1226" spans="1:8" ht="17.100000000000001" customHeight="1" x14ac:dyDescent="0.25">
      <c r="A1226" s="199"/>
      <c r="B1226" s="746"/>
      <c r="C1226" s="747"/>
      <c r="D1226" s="199"/>
      <c r="E1226" s="207"/>
      <c r="F1226" s="207"/>
      <c r="G1226" s="207"/>
      <c r="H1226" s="228"/>
    </row>
    <row r="1227" spans="1:8" ht="17.100000000000001" customHeight="1" x14ac:dyDescent="0.25">
      <c r="A1227" s="248" t="s">
        <v>41</v>
      </c>
      <c r="E1227" s="208" t="s">
        <v>42</v>
      </c>
      <c r="F1227" s="208"/>
      <c r="G1227" s="208"/>
      <c r="H1227" s="370">
        <f>(SUM(G1222:G1224))</f>
        <v>45000</v>
      </c>
    </row>
    <row r="1228" spans="1:8" ht="17.100000000000001" customHeight="1" x14ac:dyDescent="0.25">
      <c r="A1228" s="206" t="s">
        <v>43</v>
      </c>
      <c r="B1228" s="704" t="s">
        <v>44</v>
      </c>
      <c r="C1228" s="704"/>
      <c r="D1228" s="704"/>
      <c r="E1228" s="704"/>
      <c r="F1228" s="704"/>
      <c r="G1228" s="704"/>
      <c r="H1228" s="228"/>
    </row>
    <row r="1229" spans="1:8" ht="17.100000000000001" customHeight="1" x14ac:dyDescent="0.25">
      <c r="A1229" s="199" t="s">
        <v>45</v>
      </c>
      <c r="B1229" s="225" t="s">
        <v>31</v>
      </c>
      <c r="C1229" s="225" t="s">
        <v>46</v>
      </c>
      <c r="D1229" s="225" t="s">
        <v>47</v>
      </c>
      <c r="E1229" s="209" t="s">
        <v>48</v>
      </c>
      <c r="F1229" s="207" t="s">
        <v>34</v>
      </c>
      <c r="G1229" s="207" t="s">
        <v>35</v>
      </c>
      <c r="H1229" s="228"/>
    </row>
    <row r="1230" spans="1:8" ht="17.100000000000001" customHeight="1" x14ac:dyDescent="0.25">
      <c r="A1230" s="199">
        <v>1</v>
      </c>
      <c r="B1230" s="199" t="s">
        <v>189</v>
      </c>
      <c r="C1230" s="211">
        <v>70000</v>
      </c>
      <c r="D1230" s="212">
        <v>0.75</v>
      </c>
      <c r="E1230" s="210">
        <f>+(A1230*C1230)+(A1230*C1230*D1230)</f>
        <v>122500</v>
      </c>
      <c r="F1230" s="213">
        <v>40</v>
      </c>
      <c r="G1230" s="218">
        <f>(E1230)/(F1230)</f>
        <v>3062.5</v>
      </c>
      <c r="H1230" s="228"/>
    </row>
    <row r="1231" spans="1:8" ht="17.100000000000001" customHeight="1" x14ac:dyDescent="0.25">
      <c r="A1231" s="199">
        <v>1</v>
      </c>
      <c r="B1231" s="199" t="s">
        <v>233</v>
      </c>
      <c r="C1231" s="211">
        <v>120000</v>
      </c>
      <c r="D1231" s="212">
        <v>0.75</v>
      </c>
      <c r="E1231" s="210">
        <f>+(A1231*C1231)+(A1231*C1231*D1231)</f>
        <v>210000</v>
      </c>
      <c r="F1231" s="213">
        <v>40</v>
      </c>
      <c r="G1231" s="218">
        <f>(E1231)/(F1231)</f>
        <v>5250</v>
      </c>
      <c r="H1231" s="228"/>
    </row>
    <row r="1232" spans="1:8" ht="17.100000000000001" customHeight="1" x14ac:dyDescent="0.25">
      <c r="A1232" s="199"/>
      <c r="B1232" s="199"/>
      <c r="C1232" s="199"/>
      <c r="D1232" s="199"/>
      <c r="E1232" s="207"/>
      <c r="F1232" s="207"/>
      <c r="G1232" s="207"/>
      <c r="H1232" s="228"/>
    </row>
    <row r="1233" spans="1:8" ht="17.100000000000001" customHeight="1" x14ac:dyDescent="0.25">
      <c r="A1233" s="248"/>
      <c r="E1233" s="208" t="s">
        <v>50</v>
      </c>
      <c r="F1233" s="208"/>
      <c r="G1233" s="208"/>
      <c r="H1233" s="453">
        <f>SUM(G1230)+(G1231)</f>
        <v>8312.5</v>
      </c>
    </row>
    <row r="1234" spans="1:8" ht="17.100000000000001" customHeight="1" x14ac:dyDescent="0.25">
      <c r="A1234" s="206" t="s">
        <v>51</v>
      </c>
      <c r="B1234" s="704" t="s">
        <v>18</v>
      </c>
      <c r="C1234" s="704"/>
      <c r="D1234" s="704"/>
      <c r="E1234" s="704"/>
      <c r="F1234" s="704"/>
      <c r="G1234" s="704"/>
      <c r="H1234" s="228"/>
    </row>
    <row r="1235" spans="1:8" ht="17.100000000000001" customHeight="1" x14ac:dyDescent="0.25">
      <c r="A1235" s="199"/>
      <c r="B1235" s="199" t="s">
        <v>31</v>
      </c>
      <c r="C1235" s="225" t="s">
        <v>12</v>
      </c>
      <c r="D1235" s="225" t="s">
        <v>13</v>
      </c>
      <c r="E1235" s="225" t="s">
        <v>52</v>
      </c>
      <c r="F1235" s="225"/>
      <c r="G1235" s="207" t="s">
        <v>53</v>
      </c>
      <c r="H1235" s="228"/>
    </row>
    <row r="1236" spans="1:8" ht="17.100000000000001" customHeight="1" x14ac:dyDescent="0.25">
      <c r="A1236" s="199"/>
      <c r="B1236" s="199"/>
      <c r="C1236" s="214"/>
      <c r="D1236" s="199"/>
      <c r="E1236" s="207"/>
      <c r="F1236" s="207"/>
      <c r="G1236" s="207"/>
      <c r="H1236" s="228"/>
    </row>
    <row r="1237" spans="1:8" ht="17.100000000000001" customHeight="1" x14ac:dyDescent="0.25">
      <c r="A1237" s="199"/>
      <c r="B1237" s="199"/>
      <c r="C1237" s="210"/>
      <c r="D1237" s="199"/>
      <c r="E1237" s="207"/>
      <c r="F1237" s="207"/>
      <c r="G1237" s="207"/>
      <c r="H1237" s="228"/>
    </row>
    <row r="1238" spans="1:8" ht="17.100000000000001" customHeight="1" x14ac:dyDescent="0.25">
      <c r="A1238" s="199"/>
      <c r="B1238" s="199"/>
      <c r="C1238" s="199"/>
      <c r="D1238" s="199"/>
      <c r="E1238" s="207"/>
      <c r="F1238" s="207"/>
      <c r="G1238" s="207"/>
      <c r="H1238" s="228"/>
    </row>
    <row r="1239" spans="1:8" ht="17.100000000000001" customHeight="1" x14ac:dyDescent="0.25">
      <c r="A1239" s="248"/>
      <c r="E1239" s="208" t="s">
        <v>50</v>
      </c>
      <c r="F1239" s="208"/>
      <c r="G1239" s="208"/>
      <c r="H1239" s="228">
        <f>ROUND(SUM(G1236)+(G1237),0)</f>
        <v>0</v>
      </c>
    </row>
    <row r="1240" spans="1:8" ht="17.100000000000001" customHeight="1" x14ac:dyDescent="0.25">
      <c r="A1240" s="247"/>
      <c r="E1240" s="208"/>
      <c r="F1240" s="208"/>
      <c r="G1240" s="208"/>
      <c r="H1240" s="228"/>
    </row>
    <row r="1241" spans="1:8" ht="17.100000000000001" customHeight="1" x14ac:dyDescent="0.25">
      <c r="A1241" s="247"/>
      <c r="D1241" s="215" t="s">
        <v>54</v>
      </c>
      <c r="E1241" s="216"/>
      <c r="F1241" s="216"/>
      <c r="G1241" s="216"/>
      <c r="H1241" s="453">
        <f>ROUND(SUM(H1219:H1240),2)</f>
        <v>54143.75</v>
      </c>
    </row>
    <row r="1242" spans="1:8" ht="17.100000000000001" customHeight="1" x14ac:dyDescent="0.25">
      <c r="A1242" s="247"/>
      <c r="E1242" s="208"/>
      <c r="F1242" s="208"/>
      <c r="G1242" s="208"/>
      <c r="H1242" s="228"/>
    </row>
    <row r="1243" spans="1:8" ht="17.100000000000001" customHeight="1" x14ac:dyDescent="0.25">
      <c r="A1243" s="206" t="s">
        <v>55</v>
      </c>
      <c r="B1243" s="704" t="s">
        <v>56</v>
      </c>
      <c r="C1243" s="704"/>
      <c r="D1243" s="704"/>
      <c r="E1243" s="704"/>
      <c r="F1243" s="704"/>
      <c r="G1243" s="704"/>
      <c r="H1243" s="228"/>
    </row>
    <row r="1244" spans="1:8" ht="17.100000000000001" customHeight="1" x14ac:dyDescent="0.25">
      <c r="A1244" s="225"/>
      <c r="B1244" s="225" t="s">
        <v>31</v>
      </c>
      <c r="C1244" s="225" t="s">
        <v>57</v>
      </c>
      <c r="D1244" s="199" t="s">
        <v>58</v>
      </c>
      <c r="E1244" s="207"/>
      <c r="F1244" s="207" t="s">
        <v>59</v>
      </c>
      <c r="G1244" s="207"/>
      <c r="H1244" s="228"/>
    </row>
    <row r="1245" spans="1:8" ht="17.100000000000001" customHeight="1" x14ac:dyDescent="0.25">
      <c r="A1245" s="199"/>
      <c r="B1245" s="225" t="s">
        <v>60</v>
      </c>
      <c r="C1245" s="212">
        <v>0.28000000000000003</v>
      </c>
      <c r="D1245" s="199"/>
      <c r="E1245" s="210"/>
      <c r="F1245" s="199"/>
      <c r="G1245" s="218">
        <f>+H1241*C1245</f>
        <v>15160.250000000002</v>
      </c>
      <c r="H1245" s="228"/>
    </row>
    <row r="1246" spans="1:8" ht="17.100000000000001" customHeight="1" x14ac:dyDescent="0.25">
      <c r="A1246" s="199"/>
      <c r="B1246" s="225" t="s">
        <v>61</v>
      </c>
      <c r="C1246" s="212">
        <v>0.01</v>
      </c>
      <c r="D1246" s="199"/>
      <c r="E1246" s="210"/>
      <c r="F1246" s="199"/>
      <c r="G1246" s="218">
        <f>+H1241*C1246</f>
        <v>541.4375</v>
      </c>
      <c r="H1246" s="228"/>
    </row>
    <row r="1247" spans="1:8" ht="17.100000000000001" customHeight="1" x14ac:dyDescent="0.25">
      <c r="A1247" s="199"/>
      <c r="B1247" s="225" t="s">
        <v>62</v>
      </c>
      <c r="C1247" s="212">
        <v>0.03</v>
      </c>
      <c r="D1247" s="199"/>
      <c r="E1247" s="210"/>
      <c r="F1247" s="199"/>
      <c r="G1247" s="218">
        <f>+H1241*C1247</f>
        <v>1624.3125</v>
      </c>
      <c r="H1247" s="228"/>
    </row>
    <row r="1248" spans="1:8" ht="17.100000000000001" customHeight="1" x14ac:dyDescent="0.25">
      <c r="A1248" s="247"/>
      <c r="D1248" s="215" t="s">
        <v>63</v>
      </c>
      <c r="E1248" s="216"/>
      <c r="F1248" s="216"/>
      <c r="G1248" s="216"/>
      <c r="H1248" s="453">
        <f>SUM(G1244:G1247)</f>
        <v>17326</v>
      </c>
    </row>
    <row r="1249" spans="1:27" ht="17.100000000000001" customHeight="1" x14ac:dyDescent="0.25">
      <c r="A1249" s="247"/>
      <c r="E1249" s="208"/>
      <c r="F1249" s="208"/>
      <c r="G1249" s="208"/>
      <c r="H1249" s="228"/>
    </row>
    <row r="1250" spans="1:27" ht="17.100000000000001" customHeight="1" x14ac:dyDescent="0.25">
      <c r="A1250" s="247"/>
      <c r="D1250" s="215" t="s">
        <v>64</v>
      </c>
      <c r="E1250" s="216"/>
      <c r="F1250" s="216"/>
      <c r="G1250" s="208"/>
      <c r="H1250" s="453">
        <f>H1241+H1248</f>
        <v>71469.75</v>
      </c>
    </row>
    <row r="1251" spans="1:27" ht="17.100000000000001" customHeight="1" x14ac:dyDescent="0.25">
      <c r="A1251" s="247"/>
      <c r="D1251" s="215"/>
      <c r="E1251" s="216"/>
      <c r="F1251" s="216"/>
      <c r="G1251" s="208"/>
      <c r="H1251" s="228"/>
    </row>
    <row r="1252" spans="1:27" ht="17.100000000000001" customHeight="1" x14ac:dyDescent="0.25">
      <c r="A1252" s="205"/>
      <c r="B1252" s="204"/>
      <c r="E1252" s="219"/>
      <c r="F1252" s="220"/>
      <c r="G1252" s="203"/>
      <c r="H1252" s="228"/>
    </row>
    <row r="1253" spans="1:27" ht="17.100000000000001" customHeight="1" x14ac:dyDescent="0.25">
      <c r="A1253" s="249" t="str">
        <f>+A1196</f>
        <v>ING JHON ALEXANDER ARIAS</v>
      </c>
      <c r="B1253" s="217"/>
      <c r="E1253" s="216" t="str">
        <f>+E1139</f>
        <v>ARQ. GUILLERMO YAMID VALLEJOS BENAVIDES</v>
      </c>
      <c r="F1253" s="208"/>
      <c r="G1253" s="208"/>
      <c r="H1253" s="228"/>
    </row>
    <row r="1254" spans="1:27" ht="16.5" customHeight="1" x14ac:dyDescent="0.25">
      <c r="A1254" s="250" t="str">
        <f t="shared" ref="A1254:A1255" si="26">+A1197</f>
        <v>APOYO PROFESIONAL SPOPM</v>
      </c>
      <c r="B1254" s="217"/>
      <c r="E1254" s="208" t="str">
        <f t="shared" ref="E1254:E1255" si="27">+E1140</f>
        <v>SECRETARIO DE PLANEACION Y OBRAS PUBLICAS</v>
      </c>
      <c r="F1254" s="208"/>
      <c r="G1254" s="208"/>
      <c r="H1254" s="228"/>
    </row>
    <row r="1255" spans="1:27" ht="17.100000000000001" customHeight="1" x14ac:dyDescent="0.25">
      <c r="A1255" s="250" t="str">
        <f t="shared" si="26"/>
        <v>MP 111037-0703225 NRÑ</v>
      </c>
      <c r="B1255" s="580"/>
      <c r="C1255" s="579"/>
      <c r="D1255" s="579"/>
      <c r="E1255" s="581" t="str">
        <f t="shared" si="27"/>
        <v>SAN MIGUEL - PUTUMAYO</v>
      </c>
      <c r="F1255" s="581"/>
      <c r="G1255" s="581"/>
      <c r="H1255" s="581"/>
    </row>
    <row r="1258" spans="1:27" ht="17.100000000000001" customHeight="1" x14ac:dyDescent="0.3">
      <c r="A1258" s="705"/>
      <c r="B1258" s="706"/>
      <c r="C1258" s="638" t="s">
        <v>224</v>
      </c>
      <c r="D1258" s="625" t="s">
        <v>225</v>
      </c>
      <c r="E1258" s="626"/>
      <c r="F1258" s="275">
        <v>103</v>
      </c>
      <c r="G1258" s="711"/>
      <c r="H1258" s="711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7.100000000000001" customHeight="1" x14ac:dyDescent="0.3">
      <c r="A1259" s="707"/>
      <c r="B1259" s="708"/>
      <c r="C1259" s="639"/>
      <c r="D1259" s="634" t="s">
        <v>195</v>
      </c>
      <c r="E1259" s="635"/>
      <c r="F1259" s="712">
        <v>51</v>
      </c>
      <c r="G1259" s="711"/>
      <c r="H1259" s="711"/>
      <c r="Q1259"/>
      <c r="R1259"/>
      <c r="S1259"/>
      <c r="T1259"/>
      <c r="U1259"/>
      <c r="V1259"/>
      <c r="W1259"/>
      <c r="X1259"/>
      <c r="Y1259"/>
      <c r="Z1259"/>
      <c r="AA1259"/>
    </row>
    <row r="1260" spans="1:27" ht="17.100000000000001" customHeight="1" x14ac:dyDescent="0.3">
      <c r="A1260" s="707"/>
      <c r="B1260" s="708"/>
      <c r="C1260" s="307" t="s">
        <v>196</v>
      </c>
      <c r="D1260" s="636"/>
      <c r="E1260" s="637"/>
      <c r="F1260" s="713"/>
      <c r="G1260" s="711"/>
      <c r="H1260" s="711"/>
      <c r="Q1260"/>
      <c r="R1260"/>
      <c r="S1260"/>
      <c r="T1260"/>
      <c r="U1260"/>
      <c r="V1260"/>
      <c r="W1260"/>
      <c r="X1260"/>
      <c r="Y1260"/>
      <c r="Z1260"/>
      <c r="AA1260"/>
    </row>
    <row r="1261" spans="1:27" ht="17.100000000000001" customHeight="1" x14ac:dyDescent="0.3">
      <c r="A1261" s="707"/>
      <c r="B1261" s="708"/>
      <c r="C1261" s="308" t="s">
        <v>197</v>
      </c>
      <c r="D1261" s="640" t="s">
        <v>198</v>
      </c>
      <c r="E1261" s="641"/>
      <c r="F1261" s="309">
        <v>1</v>
      </c>
      <c r="G1261" s="711"/>
      <c r="H1261" s="71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4.4" x14ac:dyDescent="0.3">
      <c r="A1262" s="707"/>
      <c r="B1262" s="708"/>
      <c r="C1262" s="714" t="s">
        <v>199</v>
      </c>
      <c r="D1262" s="716" t="s">
        <v>200</v>
      </c>
      <c r="E1262" s="717"/>
      <c r="F1262" s="307" t="s">
        <v>201</v>
      </c>
      <c r="G1262" s="711"/>
      <c r="H1262" s="711"/>
      <c r="Q1262"/>
      <c r="R1262"/>
      <c r="S1262"/>
      <c r="T1262"/>
      <c r="U1262"/>
      <c r="V1262"/>
      <c r="W1262"/>
      <c r="X1262"/>
      <c r="Y1262"/>
      <c r="Z1262"/>
      <c r="AA1262"/>
    </row>
    <row r="1263" spans="1:27" ht="17.100000000000001" customHeight="1" x14ac:dyDescent="0.3">
      <c r="A1263" s="709"/>
      <c r="B1263" s="710"/>
      <c r="C1263" s="715"/>
      <c r="D1263" s="718"/>
      <c r="E1263" s="719"/>
      <c r="F1263" s="310">
        <v>44216</v>
      </c>
      <c r="G1263" s="711"/>
      <c r="H1263" s="711"/>
      <c r="Q1263"/>
      <c r="R1263"/>
      <c r="S1263"/>
      <c r="T1263"/>
      <c r="U1263"/>
      <c r="V1263"/>
      <c r="W1263"/>
      <c r="X1263"/>
      <c r="Y1263"/>
      <c r="Z1263"/>
      <c r="AA1263"/>
    </row>
    <row r="1264" spans="1:27" ht="17.100000000000001" customHeight="1" thickBot="1" x14ac:dyDescent="0.35">
      <c r="A1264" s="720"/>
      <c r="B1264" s="721"/>
      <c r="C1264" s="721"/>
      <c r="D1264" s="721"/>
      <c r="E1264" s="721"/>
      <c r="F1264" s="721"/>
      <c r="G1264" s="721"/>
      <c r="H1264" s="722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24.75" customHeight="1" x14ac:dyDescent="0.3">
      <c r="A1265" s="723" t="str">
        <f>A1207</f>
        <v>ADECUACION Y MEJORAMIENTO DE AULAS ESCOLARES UBICADA EN LA INSTITUCION EDUCATIVA TECNICO COMERCIAL LA DORADA SEDE ESCUELA CENTRAL DEL MUNICIPIO DE SAN MIGUEL PUTUMAYO</v>
      </c>
      <c r="B1265" s="724"/>
      <c r="C1265" s="724"/>
      <c r="D1265" s="724"/>
      <c r="E1265" s="724"/>
      <c r="F1265" s="724"/>
      <c r="G1265" s="724"/>
      <c r="H1265" s="725"/>
      <c r="Q1265"/>
      <c r="R1265"/>
      <c r="S1265"/>
      <c r="T1265"/>
      <c r="U1265"/>
      <c r="V1265"/>
      <c r="W1265"/>
      <c r="X1265"/>
      <c r="Y1265"/>
      <c r="Z1265"/>
      <c r="AA1265"/>
    </row>
    <row r="1266" spans="1:27" ht="18" customHeight="1" thickBot="1" x14ac:dyDescent="0.35">
      <c r="A1266" s="726"/>
      <c r="B1266" s="727"/>
      <c r="C1266" s="727"/>
      <c r="D1266" s="727"/>
      <c r="E1266" s="727"/>
      <c r="F1266" s="727"/>
      <c r="G1266" s="727"/>
      <c r="H1266" s="728"/>
      <c r="Q1266"/>
      <c r="R1266"/>
      <c r="S1266"/>
      <c r="T1266"/>
      <c r="U1266"/>
      <c r="V1266"/>
      <c r="W1266"/>
      <c r="X1266"/>
      <c r="Y1266"/>
      <c r="Z1266"/>
      <c r="AA1266"/>
    </row>
    <row r="1267" spans="1:27" ht="17.100000000000001" customHeight="1" thickBot="1" x14ac:dyDescent="0.35">
      <c r="A1267" s="273"/>
      <c r="B1267" s="274"/>
      <c r="C1267" s="274"/>
      <c r="D1267" s="274"/>
      <c r="E1267" s="274"/>
      <c r="F1267" s="274"/>
      <c r="G1267" s="274"/>
      <c r="H1267" s="44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7.100000000000001" customHeight="1" thickBot="1" x14ac:dyDescent="0.35">
      <c r="A1268" s="729" t="s">
        <v>26</v>
      </c>
      <c r="B1268" s="730"/>
      <c r="C1268" s="730"/>
      <c r="D1268" s="730"/>
      <c r="E1268" s="730"/>
      <c r="F1268" s="730"/>
      <c r="G1268" s="730"/>
      <c r="H1268" s="731"/>
      <c r="Q1268"/>
      <c r="R1268"/>
      <c r="S1268"/>
      <c r="T1268"/>
      <c r="U1268"/>
      <c r="V1268"/>
      <c r="W1268"/>
      <c r="X1268"/>
      <c r="Y1268"/>
      <c r="Z1268"/>
      <c r="AA1268"/>
    </row>
    <row r="1269" spans="1:27" ht="17.100000000000001" customHeight="1" thickBot="1" x14ac:dyDescent="0.35">
      <c r="A1269" s="247"/>
      <c r="H1269" s="244"/>
      <c r="Q1269"/>
      <c r="R1269"/>
      <c r="S1269"/>
      <c r="T1269"/>
      <c r="U1269"/>
      <c r="V1269"/>
      <c r="W1269"/>
      <c r="X1269"/>
      <c r="Y1269"/>
      <c r="Z1269"/>
      <c r="AA1269"/>
    </row>
    <row r="1270" spans="1:27" ht="17.100000000000001" customHeight="1" thickBot="1" x14ac:dyDescent="0.35">
      <c r="A1270" s="351">
        <f>Presupuesto!A45</f>
        <v>5.2</v>
      </c>
      <c r="B1270" s="732" t="str">
        <f>Presupuesto!B45</f>
        <v>SUMINISTRO Y APLICACIÓN PINTURA CORAZA PARA EXTERIORES 3 MANOS</v>
      </c>
      <c r="C1270" s="733"/>
      <c r="D1270" s="733"/>
      <c r="E1270" s="733"/>
      <c r="F1270" s="734"/>
      <c r="G1270" s="352" t="s">
        <v>28</v>
      </c>
      <c r="H1270" s="452" t="str">
        <f>Presupuesto!D45</f>
        <v>M2</v>
      </c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7.100000000000001" customHeight="1" x14ac:dyDescent="0.3">
      <c r="A1271" s="247"/>
      <c r="H1271" s="244"/>
      <c r="Q1271"/>
      <c r="R1271"/>
      <c r="S1271"/>
      <c r="T1271"/>
      <c r="U1271"/>
      <c r="V1271"/>
      <c r="W1271"/>
      <c r="X1271"/>
      <c r="Y1271"/>
      <c r="Z1271"/>
      <c r="AA1271"/>
    </row>
    <row r="1272" spans="1:27" ht="17.100000000000001" customHeight="1" x14ac:dyDescent="0.3">
      <c r="A1272" s="206" t="s">
        <v>29</v>
      </c>
      <c r="B1272" s="704" t="s">
        <v>30</v>
      </c>
      <c r="C1272" s="704"/>
      <c r="D1272" s="704"/>
      <c r="E1272" s="704"/>
      <c r="F1272" s="704"/>
      <c r="G1272" s="704"/>
      <c r="H1272" s="244"/>
      <c r="Q1272"/>
      <c r="R1272"/>
      <c r="S1272"/>
      <c r="T1272"/>
      <c r="U1272"/>
      <c r="V1272"/>
      <c r="W1272"/>
      <c r="X1272"/>
      <c r="Y1272"/>
      <c r="Z1272"/>
      <c r="AA1272"/>
    </row>
    <row r="1273" spans="1:27" ht="17.100000000000001" customHeight="1" x14ac:dyDescent="0.3">
      <c r="A1273" s="225"/>
      <c r="B1273" s="735" t="s">
        <v>31</v>
      </c>
      <c r="C1273" s="736"/>
      <c r="D1273" s="225" t="s">
        <v>32</v>
      </c>
      <c r="E1273" s="225" t="s">
        <v>33</v>
      </c>
      <c r="F1273" s="225" t="s">
        <v>34</v>
      </c>
      <c r="G1273" s="225" t="s">
        <v>35</v>
      </c>
      <c r="H1273" s="244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7.100000000000001" customHeight="1" x14ac:dyDescent="0.3">
      <c r="A1274" s="199"/>
      <c r="B1274" s="737" t="s">
        <v>67</v>
      </c>
      <c r="C1274" s="738"/>
      <c r="D1274" s="199"/>
      <c r="E1274" s="207"/>
      <c r="F1274" s="207">
        <v>0.1</v>
      </c>
      <c r="G1274" s="218">
        <f>H1291*F1274</f>
        <v>295.57416267942585</v>
      </c>
      <c r="H1274" s="245"/>
      <c r="Q1274"/>
      <c r="R1274"/>
      <c r="S1274"/>
      <c r="T1274"/>
      <c r="U1274"/>
      <c r="V1274"/>
      <c r="W1274"/>
      <c r="X1274"/>
      <c r="Y1274"/>
      <c r="Z1274"/>
      <c r="AA1274"/>
    </row>
    <row r="1275" spans="1:27" ht="17.100000000000001" customHeight="1" x14ac:dyDescent="0.25">
      <c r="A1275" s="199"/>
      <c r="B1275" s="735"/>
      <c r="C1275" s="736"/>
      <c r="D1275" s="199"/>
      <c r="E1275" s="207"/>
      <c r="F1275" s="207"/>
      <c r="G1275" s="207"/>
      <c r="H1275" s="245"/>
    </row>
    <row r="1276" spans="1:27" ht="17.100000000000001" customHeight="1" x14ac:dyDescent="0.25">
      <c r="A1276" s="199"/>
      <c r="B1276" s="735"/>
      <c r="C1276" s="736"/>
      <c r="D1276" s="199"/>
      <c r="E1276" s="207"/>
      <c r="F1276" s="207"/>
      <c r="G1276" s="207"/>
      <c r="H1276" s="228"/>
    </row>
    <row r="1277" spans="1:27" ht="17.100000000000001" customHeight="1" x14ac:dyDescent="0.25">
      <c r="A1277" s="248"/>
      <c r="E1277" s="208" t="s">
        <v>36</v>
      </c>
      <c r="F1277" s="208"/>
      <c r="G1277" s="208"/>
      <c r="H1277" s="370">
        <f>SUM(G1274:G1276)</f>
        <v>295.57416267942585</v>
      </c>
    </row>
    <row r="1278" spans="1:27" ht="17.100000000000001" customHeight="1" x14ac:dyDescent="0.25">
      <c r="A1278" s="206" t="s">
        <v>37</v>
      </c>
      <c r="B1278" s="704" t="s">
        <v>38</v>
      </c>
      <c r="C1278" s="704"/>
      <c r="D1278" s="704"/>
      <c r="E1278" s="704"/>
      <c r="F1278" s="704"/>
      <c r="G1278" s="704"/>
      <c r="H1278" s="228"/>
    </row>
    <row r="1279" spans="1:27" ht="17.100000000000001" customHeight="1" x14ac:dyDescent="0.25">
      <c r="A1279" s="225"/>
      <c r="B1279" s="735" t="s">
        <v>31</v>
      </c>
      <c r="C1279" s="736"/>
      <c r="D1279" s="199" t="s">
        <v>12</v>
      </c>
      <c r="E1279" s="209" t="s">
        <v>39</v>
      </c>
      <c r="F1279" s="209" t="s">
        <v>40</v>
      </c>
      <c r="G1279" s="209" t="s">
        <v>35</v>
      </c>
      <c r="H1279" s="228"/>
    </row>
    <row r="1280" spans="1:27" ht="17.100000000000001" customHeight="1" x14ac:dyDescent="0.25">
      <c r="A1280" s="199"/>
      <c r="B1280" s="739" t="s">
        <v>323</v>
      </c>
      <c r="C1280" s="740"/>
      <c r="D1280" s="221"/>
      <c r="E1280" s="207"/>
      <c r="F1280" s="207"/>
      <c r="G1280" s="207">
        <f>E1280*F1280</f>
        <v>0</v>
      </c>
      <c r="H1280" s="228"/>
    </row>
    <row r="1281" spans="1:8" ht="17.100000000000001" customHeight="1" x14ac:dyDescent="0.25">
      <c r="A1281" s="199"/>
      <c r="B1281" s="739"/>
      <c r="C1281" s="740"/>
      <c r="D1281" s="221" t="s">
        <v>324</v>
      </c>
      <c r="E1281" s="207">
        <v>0.05</v>
      </c>
      <c r="F1281" s="207">
        <v>228000</v>
      </c>
      <c r="G1281" s="207">
        <f>E1281*F1281</f>
        <v>11400</v>
      </c>
      <c r="H1281" s="228"/>
    </row>
    <row r="1282" spans="1:8" ht="17.100000000000001" customHeight="1" x14ac:dyDescent="0.25">
      <c r="A1282" s="199"/>
      <c r="B1282" s="739"/>
      <c r="C1282" s="740"/>
      <c r="D1282" s="221"/>
      <c r="E1282" s="221"/>
      <c r="F1282" s="221"/>
      <c r="G1282" s="207">
        <f>E1282*F1282</f>
        <v>0</v>
      </c>
      <c r="H1282" s="228"/>
    </row>
    <row r="1283" spans="1:8" ht="17.100000000000001" customHeight="1" x14ac:dyDescent="0.25">
      <c r="A1283" s="199"/>
      <c r="B1283" s="746"/>
      <c r="C1283" s="747"/>
      <c r="D1283" s="199"/>
      <c r="E1283" s="207"/>
      <c r="F1283" s="207"/>
      <c r="G1283" s="207"/>
      <c r="H1283" s="228"/>
    </row>
    <row r="1284" spans="1:8" ht="17.100000000000001" customHeight="1" x14ac:dyDescent="0.25">
      <c r="A1284" s="199"/>
      <c r="B1284" s="746"/>
      <c r="C1284" s="747"/>
      <c r="D1284" s="199"/>
      <c r="E1284" s="207"/>
      <c r="F1284" s="207"/>
      <c r="G1284" s="207"/>
      <c r="H1284" s="228"/>
    </row>
    <row r="1285" spans="1:8" ht="17.100000000000001" customHeight="1" x14ac:dyDescent="0.25">
      <c r="A1285" s="248" t="s">
        <v>41</v>
      </c>
      <c r="E1285" s="208" t="s">
        <v>42</v>
      </c>
      <c r="F1285" s="208"/>
      <c r="G1285" s="208"/>
      <c r="H1285" s="370">
        <f>(SUM(G1280:G1282))</f>
        <v>11400</v>
      </c>
    </row>
    <row r="1286" spans="1:8" ht="17.100000000000001" customHeight="1" x14ac:dyDescent="0.25">
      <c r="A1286" s="206" t="s">
        <v>43</v>
      </c>
      <c r="B1286" s="704" t="s">
        <v>44</v>
      </c>
      <c r="C1286" s="704"/>
      <c r="D1286" s="704"/>
      <c r="E1286" s="704"/>
      <c r="F1286" s="704"/>
      <c r="G1286" s="704"/>
      <c r="H1286" s="228"/>
    </row>
    <row r="1287" spans="1:8" ht="17.100000000000001" customHeight="1" x14ac:dyDescent="0.25">
      <c r="A1287" s="199" t="s">
        <v>45</v>
      </c>
      <c r="B1287" s="225" t="s">
        <v>31</v>
      </c>
      <c r="C1287" s="225" t="s">
        <v>46</v>
      </c>
      <c r="D1287" s="225" t="s">
        <v>47</v>
      </c>
      <c r="E1287" s="209" t="s">
        <v>48</v>
      </c>
      <c r="F1287" s="207" t="s">
        <v>34</v>
      </c>
      <c r="G1287" s="207" t="s">
        <v>35</v>
      </c>
      <c r="H1287" s="228"/>
    </row>
    <row r="1288" spans="1:8" ht="17.100000000000001" customHeight="1" x14ac:dyDescent="0.25">
      <c r="A1288" s="199">
        <v>1</v>
      </c>
      <c r="B1288" s="199" t="s">
        <v>189</v>
      </c>
      <c r="C1288" s="211">
        <v>70000</v>
      </c>
      <c r="D1288" s="212">
        <v>0.75</v>
      </c>
      <c r="E1288" s="210">
        <f>+(A1288*C1288)+(A1288*C1288*D1288)</f>
        <v>122500</v>
      </c>
      <c r="F1288" s="213">
        <v>110</v>
      </c>
      <c r="G1288" s="218">
        <f>(E1288)/(F1288)</f>
        <v>1113.6363636363637</v>
      </c>
      <c r="H1288" s="228"/>
    </row>
    <row r="1289" spans="1:8" ht="17.100000000000001" customHeight="1" x14ac:dyDescent="0.25">
      <c r="A1289" s="199">
        <v>1</v>
      </c>
      <c r="B1289" s="199" t="s">
        <v>233</v>
      </c>
      <c r="C1289" s="211">
        <v>120000</v>
      </c>
      <c r="D1289" s="212">
        <v>0.75</v>
      </c>
      <c r="E1289" s="210">
        <f>+(A1289*C1289)+(A1289*C1289*D1289)</f>
        <v>210000</v>
      </c>
      <c r="F1289" s="213">
        <v>114</v>
      </c>
      <c r="G1289" s="218">
        <f>(E1289)/(F1289)</f>
        <v>1842.1052631578948</v>
      </c>
      <c r="H1289" s="228"/>
    </row>
    <row r="1290" spans="1:8" ht="17.100000000000001" customHeight="1" x14ac:dyDescent="0.25">
      <c r="A1290" s="199"/>
      <c r="B1290" s="199"/>
      <c r="C1290" s="199"/>
      <c r="D1290" s="199"/>
      <c r="E1290" s="207"/>
      <c r="F1290" s="207"/>
      <c r="G1290" s="207"/>
      <c r="H1290" s="228"/>
    </row>
    <row r="1291" spans="1:8" ht="17.100000000000001" customHeight="1" x14ac:dyDescent="0.25">
      <c r="A1291" s="248"/>
      <c r="E1291" s="208" t="s">
        <v>50</v>
      </c>
      <c r="F1291" s="208"/>
      <c r="G1291" s="208"/>
      <c r="H1291" s="453">
        <f>SUM(G1288)+(G1289)</f>
        <v>2955.7416267942585</v>
      </c>
    </row>
    <row r="1292" spans="1:8" ht="17.100000000000001" customHeight="1" x14ac:dyDescent="0.25">
      <c r="A1292" s="206" t="s">
        <v>51</v>
      </c>
      <c r="B1292" s="704" t="s">
        <v>18</v>
      </c>
      <c r="C1292" s="704"/>
      <c r="D1292" s="704"/>
      <c r="E1292" s="704"/>
      <c r="F1292" s="704"/>
      <c r="G1292" s="704"/>
      <c r="H1292" s="228"/>
    </row>
    <row r="1293" spans="1:8" ht="17.100000000000001" customHeight="1" x14ac:dyDescent="0.25">
      <c r="A1293" s="199"/>
      <c r="B1293" s="199" t="s">
        <v>31</v>
      </c>
      <c r="C1293" s="225" t="s">
        <v>12</v>
      </c>
      <c r="D1293" s="225" t="s">
        <v>13</v>
      </c>
      <c r="E1293" s="225" t="s">
        <v>52</v>
      </c>
      <c r="F1293" s="225"/>
      <c r="G1293" s="207" t="s">
        <v>53</v>
      </c>
      <c r="H1293" s="228"/>
    </row>
    <row r="1294" spans="1:8" ht="17.100000000000001" customHeight="1" x14ac:dyDescent="0.25">
      <c r="A1294" s="199"/>
      <c r="B1294" s="199"/>
      <c r="C1294" s="214"/>
      <c r="D1294" s="199"/>
      <c r="E1294" s="207"/>
      <c r="F1294" s="207"/>
      <c r="G1294" s="207"/>
      <c r="H1294" s="228"/>
    </row>
    <row r="1295" spans="1:8" ht="17.100000000000001" customHeight="1" x14ac:dyDescent="0.25">
      <c r="A1295" s="199"/>
      <c r="B1295" s="199"/>
      <c r="C1295" s="210"/>
      <c r="D1295" s="199"/>
      <c r="E1295" s="207"/>
      <c r="F1295" s="207"/>
      <c r="G1295" s="207"/>
      <c r="H1295" s="228"/>
    </row>
    <row r="1296" spans="1:8" ht="17.100000000000001" customHeight="1" x14ac:dyDescent="0.25">
      <c r="A1296" s="199"/>
      <c r="B1296" s="199"/>
      <c r="C1296" s="199"/>
      <c r="D1296" s="199"/>
      <c r="E1296" s="207"/>
      <c r="F1296" s="207"/>
      <c r="G1296" s="207"/>
      <c r="H1296" s="228"/>
    </row>
    <row r="1297" spans="1:8" ht="17.100000000000001" customHeight="1" x14ac:dyDescent="0.25">
      <c r="A1297" s="248"/>
      <c r="E1297" s="208" t="s">
        <v>50</v>
      </c>
      <c r="F1297" s="208"/>
      <c r="G1297" s="208"/>
      <c r="H1297" s="228">
        <f>ROUND(SUM(G1294)+(G1295),0)</f>
        <v>0</v>
      </c>
    </row>
    <row r="1298" spans="1:8" ht="17.100000000000001" customHeight="1" x14ac:dyDescent="0.25">
      <c r="A1298" s="247"/>
      <c r="E1298" s="208"/>
      <c r="F1298" s="208"/>
      <c r="G1298" s="208"/>
      <c r="H1298" s="228"/>
    </row>
    <row r="1299" spans="1:8" ht="17.100000000000001" customHeight="1" x14ac:dyDescent="0.25">
      <c r="A1299" s="247"/>
      <c r="D1299" s="215" t="s">
        <v>54</v>
      </c>
      <c r="E1299" s="216"/>
      <c r="F1299" s="216"/>
      <c r="G1299" s="216"/>
      <c r="H1299" s="453">
        <f>ROUND(SUM(H1277:H1298),2)</f>
        <v>14651.32</v>
      </c>
    </row>
    <row r="1300" spans="1:8" ht="17.100000000000001" customHeight="1" x14ac:dyDescent="0.25">
      <c r="A1300" s="247"/>
      <c r="E1300" s="208"/>
      <c r="F1300" s="208"/>
      <c r="G1300" s="208"/>
      <c r="H1300" s="228"/>
    </row>
    <row r="1301" spans="1:8" ht="17.100000000000001" customHeight="1" x14ac:dyDescent="0.25">
      <c r="A1301" s="206" t="s">
        <v>55</v>
      </c>
      <c r="B1301" s="704" t="s">
        <v>56</v>
      </c>
      <c r="C1301" s="704"/>
      <c r="D1301" s="704"/>
      <c r="E1301" s="704"/>
      <c r="F1301" s="704"/>
      <c r="G1301" s="704"/>
      <c r="H1301" s="228"/>
    </row>
    <row r="1302" spans="1:8" ht="17.100000000000001" customHeight="1" x14ac:dyDescent="0.25">
      <c r="A1302" s="225"/>
      <c r="B1302" s="225" t="s">
        <v>31</v>
      </c>
      <c r="C1302" s="225" t="s">
        <v>57</v>
      </c>
      <c r="D1302" s="199" t="s">
        <v>58</v>
      </c>
      <c r="E1302" s="207"/>
      <c r="F1302" s="207" t="s">
        <v>59</v>
      </c>
      <c r="G1302" s="207"/>
      <c r="H1302" s="228"/>
    </row>
    <row r="1303" spans="1:8" ht="17.100000000000001" customHeight="1" x14ac:dyDescent="0.25">
      <c r="A1303" s="199"/>
      <c r="B1303" s="225" t="s">
        <v>60</v>
      </c>
      <c r="C1303" s="212">
        <v>0.28000000000000003</v>
      </c>
      <c r="D1303" s="199"/>
      <c r="E1303" s="210"/>
      <c r="F1303" s="199"/>
      <c r="G1303" s="218">
        <f>+H1299*C1303</f>
        <v>4102.3696</v>
      </c>
      <c r="H1303" s="228"/>
    </row>
    <row r="1304" spans="1:8" ht="17.100000000000001" customHeight="1" x14ac:dyDescent="0.25">
      <c r="A1304" s="199"/>
      <c r="B1304" s="225" t="s">
        <v>61</v>
      </c>
      <c r="C1304" s="212">
        <v>0.01</v>
      </c>
      <c r="D1304" s="199"/>
      <c r="E1304" s="210"/>
      <c r="F1304" s="199"/>
      <c r="G1304" s="218">
        <f>+H1299*C1304</f>
        <v>146.51320000000001</v>
      </c>
      <c r="H1304" s="228"/>
    </row>
    <row r="1305" spans="1:8" ht="17.100000000000001" customHeight="1" x14ac:dyDescent="0.25">
      <c r="A1305" s="199"/>
      <c r="B1305" s="225" t="s">
        <v>62</v>
      </c>
      <c r="C1305" s="212">
        <v>0.03</v>
      </c>
      <c r="D1305" s="199"/>
      <c r="E1305" s="210"/>
      <c r="F1305" s="199"/>
      <c r="G1305" s="218">
        <f>+H1299*C1305</f>
        <v>439.53959999999995</v>
      </c>
      <c r="H1305" s="228"/>
    </row>
    <row r="1306" spans="1:8" ht="17.100000000000001" customHeight="1" x14ac:dyDescent="0.25">
      <c r="A1306" s="247"/>
      <c r="D1306" s="215" t="s">
        <v>63</v>
      </c>
      <c r="E1306" s="216"/>
      <c r="F1306" s="216"/>
      <c r="G1306" s="216"/>
      <c r="H1306" s="453">
        <f>SUM(G1302:G1305)</f>
        <v>4688.4224000000004</v>
      </c>
    </row>
    <row r="1307" spans="1:8" ht="17.100000000000001" customHeight="1" x14ac:dyDescent="0.25">
      <c r="A1307" s="247"/>
      <c r="E1307" s="208"/>
      <c r="F1307" s="208"/>
      <c r="G1307" s="208"/>
      <c r="H1307" s="228"/>
    </row>
    <row r="1308" spans="1:8" ht="17.100000000000001" customHeight="1" x14ac:dyDescent="0.25">
      <c r="A1308" s="247"/>
      <c r="D1308" s="215" t="s">
        <v>64</v>
      </c>
      <c r="E1308" s="216"/>
      <c r="F1308" s="216"/>
      <c r="G1308" s="208"/>
      <c r="H1308" s="453">
        <f>H1299+H1306</f>
        <v>19339.742399999999</v>
      </c>
    </row>
    <row r="1309" spans="1:8" ht="17.100000000000001" customHeight="1" x14ac:dyDescent="0.25">
      <c r="A1309" s="247"/>
      <c r="D1309" s="215"/>
      <c r="E1309" s="216"/>
      <c r="F1309" s="216"/>
      <c r="G1309" s="208"/>
      <c r="H1309" s="228"/>
    </row>
    <row r="1310" spans="1:8" ht="17.100000000000001" customHeight="1" x14ac:dyDescent="0.25">
      <c r="A1310" s="205"/>
      <c r="B1310" s="204"/>
      <c r="E1310" s="219"/>
      <c r="F1310" s="220"/>
      <c r="G1310" s="203"/>
      <c r="H1310" s="228"/>
    </row>
    <row r="1311" spans="1:8" ht="17.100000000000001" customHeight="1" x14ac:dyDescent="0.25">
      <c r="A1311" s="249" t="str">
        <f>+A1253</f>
        <v>ING JHON ALEXANDER ARIAS</v>
      </c>
      <c r="B1311" s="217"/>
      <c r="E1311" s="216" t="str">
        <f>E1253</f>
        <v>ARQ. GUILLERMO YAMID VALLEJOS BENAVIDES</v>
      </c>
      <c r="F1311" s="208"/>
      <c r="G1311" s="208"/>
      <c r="H1311" s="228"/>
    </row>
    <row r="1312" spans="1:8" ht="16.5" customHeight="1" x14ac:dyDescent="0.25">
      <c r="A1312" s="250" t="str">
        <f t="shared" ref="A1312:A1313" si="28">+A1254</f>
        <v>APOYO PROFESIONAL SPOPM</v>
      </c>
      <c r="B1312" s="217"/>
      <c r="E1312" s="208" t="str">
        <f>E1254</f>
        <v>SECRETARIO DE PLANEACION Y OBRAS PUBLICAS</v>
      </c>
      <c r="F1312" s="208"/>
      <c r="G1312" s="208"/>
      <c r="H1312" s="228"/>
    </row>
    <row r="1313" spans="1:27" ht="17.100000000000001" customHeight="1" x14ac:dyDescent="0.25">
      <c r="A1313" s="250" t="str">
        <f t="shared" si="28"/>
        <v>MP 111037-0703225 NRÑ</v>
      </c>
      <c r="B1313" s="251"/>
      <c r="C1313" s="204"/>
      <c r="D1313" s="204"/>
      <c r="E1313" s="208" t="str">
        <f>E1255</f>
        <v>SAN MIGUEL - PUTUMAYO</v>
      </c>
      <c r="F1313" s="203"/>
      <c r="G1313" s="203"/>
      <c r="H1313" s="246"/>
    </row>
    <row r="1315" spans="1:27" ht="17.100000000000001" customHeight="1" x14ac:dyDescent="0.3">
      <c r="A1315" s="705"/>
      <c r="B1315" s="706"/>
      <c r="C1315" s="638" t="s">
        <v>224</v>
      </c>
      <c r="D1315" s="625" t="s">
        <v>225</v>
      </c>
      <c r="E1315" s="626"/>
      <c r="F1315" s="275">
        <v>103</v>
      </c>
      <c r="G1315" s="711"/>
      <c r="H1315" s="711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7.100000000000001" customHeight="1" x14ac:dyDescent="0.3">
      <c r="A1316" s="707"/>
      <c r="B1316" s="708"/>
      <c r="C1316" s="639"/>
      <c r="D1316" s="634" t="s">
        <v>195</v>
      </c>
      <c r="E1316" s="635"/>
      <c r="F1316" s="712">
        <v>51</v>
      </c>
      <c r="G1316" s="711"/>
      <c r="H1316" s="711"/>
      <c r="Q1316"/>
      <c r="R1316"/>
      <c r="S1316"/>
      <c r="T1316"/>
      <c r="U1316"/>
      <c r="V1316"/>
      <c r="W1316"/>
      <c r="X1316"/>
      <c r="Y1316"/>
      <c r="Z1316"/>
      <c r="AA1316"/>
    </row>
    <row r="1317" spans="1:27" ht="17.100000000000001" customHeight="1" x14ac:dyDescent="0.3">
      <c r="A1317" s="707"/>
      <c r="B1317" s="708"/>
      <c r="C1317" s="307" t="s">
        <v>196</v>
      </c>
      <c r="D1317" s="636"/>
      <c r="E1317" s="637"/>
      <c r="F1317" s="713"/>
      <c r="G1317" s="711"/>
      <c r="H1317" s="711"/>
      <c r="Q1317"/>
      <c r="R1317"/>
      <c r="S1317"/>
      <c r="T1317"/>
      <c r="U1317"/>
      <c r="V1317"/>
      <c r="W1317"/>
      <c r="X1317"/>
      <c r="Y1317"/>
      <c r="Z1317"/>
      <c r="AA1317"/>
    </row>
    <row r="1318" spans="1:27" ht="17.100000000000001" customHeight="1" x14ac:dyDescent="0.3">
      <c r="A1318" s="707"/>
      <c r="B1318" s="708"/>
      <c r="C1318" s="308" t="s">
        <v>197</v>
      </c>
      <c r="D1318" s="640" t="s">
        <v>198</v>
      </c>
      <c r="E1318" s="641"/>
      <c r="F1318" s="309">
        <v>1</v>
      </c>
      <c r="G1318" s="711"/>
      <c r="H1318" s="711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4.4" x14ac:dyDescent="0.3">
      <c r="A1319" s="707"/>
      <c r="B1319" s="708"/>
      <c r="C1319" s="714" t="s">
        <v>199</v>
      </c>
      <c r="D1319" s="716" t="s">
        <v>200</v>
      </c>
      <c r="E1319" s="717"/>
      <c r="F1319" s="307" t="s">
        <v>201</v>
      </c>
      <c r="G1319" s="711"/>
      <c r="H1319" s="711"/>
      <c r="Q1319"/>
      <c r="R1319"/>
      <c r="S1319"/>
      <c r="T1319"/>
      <c r="U1319"/>
      <c r="V1319"/>
      <c r="W1319"/>
      <c r="X1319"/>
      <c r="Y1319"/>
      <c r="Z1319"/>
      <c r="AA1319"/>
    </row>
    <row r="1320" spans="1:27" ht="17.100000000000001" customHeight="1" x14ac:dyDescent="0.3">
      <c r="A1320" s="709"/>
      <c r="B1320" s="710"/>
      <c r="C1320" s="715"/>
      <c r="D1320" s="718"/>
      <c r="E1320" s="719"/>
      <c r="F1320" s="310">
        <v>44216</v>
      </c>
      <c r="G1320" s="711"/>
      <c r="H1320" s="711"/>
      <c r="Q1320"/>
      <c r="R1320"/>
      <c r="S1320"/>
      <c r="T1320"/>
      <c r="U1320"/>
      <c r="V1320"/>
      <c r="W1320"/>
      <c r="X1320"/>
      <c r="Y1320"/>
      <c r="Z1320"/>
      <c r="AA1320"/>
    </row>
    <row r="1321" spans="1:27" ht="17.100000000000001" customHeight="1" thickBot="1" x14ac:dyDescent="0.35">
      <c r="A1321" s="720"/>
      <c r="B1321" s="721"/>
      <c r="C1321" s="721"/>
      <c r="D1321" s="721"/>
      <c r="E1321" s="721"/>
      <c r="F1321" s="721"/>
      <c r="G1321" s="721"/>
      <c r="H1321" s="722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24.75" customHeight="1" x14ac:dyDescent="0.3">
      <c r="A1322" s="723" t="str">
        <f>+Presupuesto!A8</f>
        <v>ADECUACION Y MEJORAMIENTO DE AULAS ESCOLARES UBICADA EN LA INSTITUCION EDUCATIVA TECNICO COMERCIAL LA DORADA SEDE ESCUELA CENTRAL DEL MUNICIPIO DE SAN MIGUEL PUTUMAYO</v>
      </c>
      <c r="B1322" s="724"/>
      <c r="C1322" s="724"/>
      <c r="D1322" s="724"/>
      <c r="E1322" s="724"/>
      <c r="F1322" s="724"/>
      <c r="G1322" s="724"/>
      <c r="H1322" s="725"/>
      <c r="Q1322"/>
      <c r="R1322"/>
      <c r="S1322"/>
      <c r="T1322"/>
      <c r="U1322"/>
      <c r="V1322"/>
      <c r="W1322"/>
      <c r="X1322"/>
      <c r="Y1322"/>
      <c r="Z1322"/>
      <c r="AA1322"/>
    </row>
    <row r="1323" spans="1:27" ht="18" customHeight="1" thickBot="1" x14ac:dyDescent="0.35">
      <c r="A1323" s="726"/>
      <c r="B1323" s="727"/>
      <c r="C1323" s="727"/>
      <c r="D1323" s="727"/>
      <c r="E1323" s="727"/>
      <c r="F1323" s="727"/>
      <c r="G1323" s="727"/>
      <c r="H1323" s="728"/>
      <c r="Q1323"/>
      <c r="R1323"/>
      <c r="S1323"/>
      <c r="T1323"/>
      <c r="U1323"/>
      <c r="V1323"/>
      <c r="W1323"/>
      <c r="X1323"/>
      <c r="Y1323"/>
      <c r="Z1323"/>
      <c r="AA1323"/>
    </row>
    <row r="1324" spans="1:27" ht="17.100000000000001" customHeight="1" thickBot="1" x14ac:dyDescent="0.35">
      <c r="A1324" s="273"/>
      <c r="B1324" s="274"/>
      <c r="C1324" s="274"/>
      <c r="D1324" s="274"/>
      <c r="E1324" s="274"/>
      <c r="F1324" s="274"/>
      <c r="G1324" s="274"/>
      <c r="H1324" s="447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7.100000000000001" customHeight="1" thickBot="1" x14ac:dyDescent="0.35">
      <c r="A1325" s="729" t="s">
        <v>26</v>
      </c>
      <c r="B1325" s="730"/>
      <c r="C1325" s="730"/>
      <c r="D1325" s="730"/>
      <c r="E1325" s="730"/>
      <c r="F1325" s="730"/>
      <c r="G1325" s="730"/>
      <c r="H1325" s="731"/>
      <c r="Q1325"/>
      <c r="R1325"/>
      <c r="S1325"/>
      <c r="T1325"/>
      <c r="U1325"/>
      <c r="V1325"/>
      <c r="W1325"/>
      <c r="X1325"/>
      <c r="Y1325"/>
      <c r="Z1325"/>
      <c r="AA1325"/>
    </row>
    <row r="1326" spans="1:27" ht="17.100000000000001" customHeight="1" thickBot="1" x14ac:dyDescent="0.35">
      <c r="A1326" s="247"/>
      <c r="H1326" s="244"/>
      <c r="Q1326"/>
      <c r="R1326"/>
      <c r="S1326"/>
      <c r="T1326"/>
      <c r="U1326"/>
      <c r="V1326"/>
      <c r="W1326"/>
      <c r="X1326"/>
      <c r="Y1326"/>
      <c r="Z1326"/>
      <c r="AA1326"/>
    </row>
    <row r="1327" spans="1:27" ht="17.100000000000001" customHeight="1" thickBot="1" x14ac:dyDescent="0.35">
      <c r="A1327" s="351">
        <f>Presupuesto!A46</f>
        <v>5.3</v>
      </c>
      <c r="B1327" s="732" t="str">
        <f>Presupuesto!B46</f>
        <v>VENTANA TIPO REJA EN MARCO GALVANIZADO BARRA CUADRADA MEDIDAS 3,43X1,5 m</v>
      </c>
      <c r="C1327" s="733"/>
      <c r="D1327" s="733"/>
      <c r="E1327" s="733"/>
      <c r="F1327" s="734"/>
      <c r="G1327" s="352" t="s">
        <v>28</v>
      </c>
      <c r="H1327" s="452" t="str">
        <f>Presupuesto!D46</f>
        <v>UND</v>
      </c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7.100000000000001" customHeight="1" x14ac:dyDescent="0.3">
      <c r="A1328" s="247"/>
      <c r="H1328" s="244"/>
      <c r="Q1328"/>
      <c r="R1328"/>
      <c r="S1328"/>
      <c r="T1328"/>
      <c r="U1328"/>
      <c r="V1328"/>
      <c r="W1328"/>
      <c r="X1328"/>
      <c r="Y1328"/>
      <c r="Z1328"/>
      <c r="AA1328"/>
    </row>
    <row r="1329" spans="1:27" ht="17.100000000000001" customHeight="1" x14ac:dyDescent="0.3">
      <c r="A1329" s="206" t="s">
        <v>29</v>
      </c>
      <c r="B1329" s="704" t="s">
        <v>30</v>
      </c>
      <c r="C1329" s="704"/>
      <c r="D1329" s="704"/>
      <c r="E1329" s="704"/>
      <c r="F1329" s="704"/>
      <c r="G1329" s="704"/>
      <c r="H1329" s="244"/>
      <c r="Q1329"/>
      <c r="R1329"/>
      <c r="S1329"/>
      <c r="T1329"/>
      <c r="U1329"/>
      <c r="V1329"/>
      <c r="W1329"/>
      <c r="X1329"/>
      <c r="Y1329"/>
      <c r="Z1329"/>
      <c r="AA1329"/>
    </row>
    <row r="1330" spans="1:27" ht="17.100000000000001" customHeight="1" x14ac:dyDescent="0.3">
      <c r="A1330" s="225"/>
      <c r="B1330" s="735" t="s">
        <v>31</v>
      </c>
      <c r="C1330" s="736"/>
      <c r="D1330" s="225" t="s">
        <v>32</v>
      </c>
      <c r="E1330" s="225" t="s">
        <v>33</v>
      </c>
      <c r="F1330" s="225" t="s">
        <v>34</v>
      </c>
      <c r="G1330" s="225" t="s">
        <v>35</v>
      </c>
      <c r="H1330" s="244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7.100000000000001" customHeight="1" x14ac:dyDescent="0.3">
      <c r="A1331" s="199"/>
      <c r="B1331" s="737" t="s">
        <v>67</v>
      </c>
      <c r="C1331" s="738"/>
      <c r="D1331" s="199"/>
      <c r="E1331" s="207"/>
      <c r="F1331" s="207">
        <v>0.1</v>
      </c>
      <c r="G1331" s="218">
        <f>H1348*F1331</f>
        <v>8312.5</v>
      </c>
      <c r="H1331" s="245"/>
      <c r="Q1331"/>
      <c r="R1331"/>
      <c r="S1331"/>
      <c r="T1331"/>
      <c r="U1331"/>
      <c r="V1331"/>
      <c r="W1331"/>
      <c r="X1331"/>
      <c r="Y1331"/>
      <c r="Z1331"/>
      <c r="AA1331"/>
    </row>
    <row r="1332" spans="1:27" ht="17.100000000000001" customHeight="1" x14ac:dyDescent="0.25">
      <c r="A1332" s="199"/>
      <c r="B1332" s="735"/>
      <c r="C1332" s="736"/>
      <c r="D1332" s="199"/>
      <c r="E1332" s="207"/>
      <c r="F1332" s="207"/>
      <c r="G1332" s="207"/>
      <c r="H1332" s="245"/>
    </row>
    <row r="1333" spans="1:27" ht="17.100000000000001" customHeight="1" x14ac:dyDescent="0.25">
      <c r="A1333" s="199"/>
      <c r="B1333" s="735"/>
      <c r="C1333" s="736"/>
      <c r="D1333" s="199"/>
      <c r="E1333" s="207"/>
      <c r="F1333" s="207"/>
      <c r="G1333" s="207"/>
      <c r="H1333" s="228"/>
    </row>
    <row r="1334" spans="1:27" ht="17.100000000000001" customHeight="1" x14ac:dyDescent="0.25">
      <c r="A1334" s="248"/>
      <c r="E1334" s="208" t="s">
        <v>36</v>
      </c>
      <c r="F1334" s="208"/>
      <c r="G1334" s="208"/>
      <c r="H1334" s="370">
        <f>SUM(G1331:G1333)</f>
        <v>8312.5</v>
      </c>
    </row>
    <row r="1335" spans="1:27" ht="17.100000000000001" customHeight="1" x14ac:dyDescent="0.25">
      <c r="A1335" s="206" t="s">
        <v>37</v>
      </c>
      <c r="B1335" s="704" t="s">
        <v>38</v>
      </c>
      <c r="C1335" s="704"/>
      <c r="D1335" s="704"/>
      <c r="E1335" s="704"/>
      <c r="F1335" s="704"/>
      <c r="G1335" s="704"/>
      <c r="H1335" s="228"/>
    </row>
    <row r="1336" spans="1:27" ht="17.100000000000001" customHeight="1" x14ac:dyDescent="0.25">
      <c r="A1336" s="225"/>
      <c r="B1336" s="735" t="s">
        <v>31</v>
      </c>
      <c r="C1336" s="736"/>
      <c r="D1336" s="199" t="s">
        <v>12</v>
      </c>
      <c r="E1336" s="209" t="s">
        <v>39</v>
      </c>
      <c r="F1336" s="209" t="s">
        <v>40</v>
      </c>
      <c r="G1336" s="209" t="s">
        <v>35</v>
      </c>
      <c r="H1336" s="228"/>
    </row>
    <row r="1337" spans="1:27" ht="31.2" customHeight="1" x14ac:dyDescent="0.25">
      <c r="A1337" s="199"/>
      <c r="B1337" s="751" t="s">
        <v>407</v>
      </c>
      <c r="C1337" s="752"/>
      <c r="D1337" s="221" t="s">
        <v>12</v>
      </c>
      <c r="E1337" s="207">
        <v>1</v>
      </c>
      <c r="F1337" s="207">
        <v>1250000</v>
      </c>
      <c r="G1337" s="207">
        <f>E1337*F1337</f>
        <v>1250000</v>
      </c>
      <c r="H1337" s="228"/>
    </row>
    <row r="1338" spans="1:27" ht="17.100000000000001" customHeight="1" x14ac:dyDescent="0.25">
      <c r="A1338" s="199"/>
      <c r="B1338" s="746"/>
      <c r="C1338" s="747"/>
      <c r="D1338" s="221"/>
      <c r="E1338" s="207"/>
      <c r="F1338" s="207"/>
      <c r="G1338" s="207"/>
      <c r="H1338" s="228"/>
    </row>
    <row r="1339" spans="1:27" ht="17.100000000000001" customHeight="1" x14ac:dyDescent="0.25">
      <c r="A1339" s="199"/>
      <c r="B1339" s="746"/>
      <c r="C1339" s="747"/>
      <c r="D1339" s="221"/>
      <c r="E1339" s="221"/>
      <c r="F1339" s="207"/>
      <c r="G1339" s="207"/>
      <c r="H1339" s="228"/>
    </row>
    <row r="1340" spans="1:27" ht="17.100000000000001" customHeight="1" x14ac:dyDescent="0.25">
      <c r="A1340" s="199"/>
      <c r="B1340" s="746"/>
      <c r="C1340" s="747"/>
      <c r="D1340" s="199"/>
      <c r="E1340" s="207"/>
      <c r="F1340" s="207"/>
      <c r="G1340" s="207"/>
      <c r="H1340" s="228"/>
    </row>
    <row r="1341" spans="1:27" ht="17.100000000000001" customHeight="1" x14ac:dyDescent="0.25">
      <c r="A1341" s="199"/>
      <c r="B1341" s="746"/>
      <c r="C1341" s="747"/>
      <c r="D1341" s="199"/>
      <c r="E1341" s="207"/>
      <c r="F1341" s="207"/>
      <c r="G1341" s="207"/>
      <c r="H1341" s="228"/>
    </row>
    <row r="1342" spans="1:27" ht="17.100000000000001" customHeight="1" x14ac:dyDescent="0.25">
      <c r="A1342" s="248" t="s">
        <v>41</v>
      </c>
      <c r="E1342" s="208" t="s">
        <v>42</v>
      </c>
      <c r="F1342" s="208"/>
      <c r="G1342" s="208"/>
      <c r="H1342" s="454">
        <f>(SUM(G1337:G1339))</f>
        <v>1250000</v>
      </c>
    </row>
    <row r="1343" spans="1:27" ht="17.100000000000001" customHeight="1" x14ac:dyDescent="0.25">
      <c r="A1343" s="206" t="s">
        <v>43</v>
      </c>
      <c r="B1343" s="704" t="s">
        <v>44</v>
      </c>
      <c r="C1343" s="704"/>
      <c r="D1343" s="704"/>
      <c r="E1343" s="704"/>
      <c r="F1343" s="704"/>
      <c r="G1343" s="704"/>
      <c r="H1343" s="228"/>
    </row>
    <row r="1344" spans="1:27" ht="17.100000000000001" customHeight="1" x14ac:dyDescent="0.25">
      <c r="A1344" s="199" t="s">
        <v>45</v>
      </c>
      <c r="B1344" s="225" t="s">
        <v>31</v>
      </c>
      <c r="C1344" s="225" t="s">
        <v>46</v>
      </c>
      <c r="D1344" s="225" t="s">
        <v>47</v>
      </c>
      <c r="E1344" s="209" t="s">
        <v>48</v>
      </c>
      <c r="F1344" s="207" t="s">
        <v>34</v>
      </c>
      <c r="G1344" s="207" t="s">
        <v>35</v>
      </c>
      <c r="H1344" s="228"/>
    </row>
    <row r="1345" spans="1:8" ht="17.100000000000001" customHeight="1" x14ac:dyDescent="0.25">
      <c r="A1345" s="199">
        <v>1</v>
      </c>
      <c r="B1345" s="199" t="s">
        <v>189</v>
      </c>
      <c r="C1345" s="211">
        <v>70000</v>
      </c>
      <c r="D1345" s="212">
        <v>0.75</v>
      </c>
      <c r="E1345" s="210">
        <f>+(A1345*C1345)+(A1345*C1345*D1345)</f>
        <v>122500</v>
      </c>
      <c r="F1345" s="213">
        <v>4</v>
      </c>
      <c r="G1345" s="218">
        <f>(E1345)/(F1345)</f>
        <v>30625</v>
      </c>
      <c r="H1345" s="228"/>
    </row>
    <row r="1346" spans="1:8" ht="17.100000000000001" customHeight="1" x14ac:dyDescent="0.25">
      <c r="A1346" s="199">
        <v>1</v>
      </c>
      <c r="B1346" s="199" t="s">
        <v>233</v>
      </c>
      <c r="C1346" s="211">
        <v>120000</v>
      </c>
      <c r="D1346" s="212">
        <v>0.75</v>
      </c>
      <c r="E1346" s="210">
        <f>+(A1346*C1346)+(A1346*C1346*D1346)</f>
        <v>210000</v>
      </c>
      <c r="F1346" s="213">
        <v>4</v>
      </c>
      <c r="G1346" s="218">
        <f>(E1346)/(F1346)</f>
        <v>52500</v>
      </c>
      <c r="H1346" s="228"/>
    </row>
    <row r="1347" spans="1:8" ht="17.100000000000001" customHeight="1" x14ac:dyDescent="0.25">
      <c r="A1347" s="199"/>
      <c r="B1347" s="199"/>
      <c r="C1347" s="199"/>
      <c r="D1347" s="199"/>
      <c r="E1347" s="207"/>
      <c r="F1347" s="207"/>
      <c r="G1347" s="207"/>
      <c r="H1347" s="228"/>
    </row>
    <row r="1348" spans="1:8" ht="17.100000000000001" customHeight="1" x14ac:dyDescent="0.25">
      <c r="A1348" s="248"/>
      <c r="E1348" s="208" t="s">
        <v>50</v>
      </c>
      <c r="F1348" s="208"/>
      <c r="G1348" s="208"/>
      <c r="H1348" s="453">
        <f>SUM(G1345)+(G1346)</f>
        <v>83125</v>
      </c>
    </row>
    <row r="1349" spans="1:8" ht="17.100000000000001" customHeight="1" x14ac:dyDescent="0.25">
      <c r="A1349" s="206" t="s">
        <v>51</v>
      </c>
      <c r="B1349" s="704" t="s">
        <v>18</v>
      </c>
      <c r="C1349" s="704"/>
      <c r="D1349" s="704"/>
      <c r="E1349" s="704"/>
      <c r="F1349" s="704"/>
      <c r="G1349" s="704"/>
      <c r="H1349" s="228"/>
    </row>
    <row r="1350" spans="1:8" ht="17.100000000000001" customHeight="1" x14ac:dyDescent="0.25">
      <c r="A1350" s="199"/>
      <c r="B1350" s="199" t="s">
        <v>31</v>
      </c>
      <c r="C1350" s="225" t="s">
        <v>12</v>
      </c>
      <c r="D1350" s="225" t="s">
        <v>13</v>
      </c>
      <c r="E1350" s="225" t="s">
        <v>52</v>
      </c>
      <c r="F1350" s="225"/>
      <c r="G1350" s="207" t="s">
        <v>53</v>
      </c>
      <c r="H1350" s="228"/>
    </row>
    <row r="1351" spans="1:8" ht="17.100000000000001" customHeight="1" x14ac:dyDescent="0.25">
      <c r="A1351" s="199"/>
      <c r="B1351" s="199"/>
      <c r="C1351" s="214"/>
      <c r="D1351" s="199"/>
      <c r="E1351" s="207"/>
      <c r="F1351" s="207"/>
      <c r="G1351" s="207"/>
      <c r="H1351" s="228"/>
    </row>
    <row r="1352" spans="1:8" ht="17.100000000000001" customHeight="1" x14ac:dyDescent="0.25">
      <c r="A1352" s="199"/>
      <c r="B1352" s="199"/>
      <c r="C1352" s="210"/>
      <c r="D1352" s="199"/>
      <c r="E1352" s="207"/>
      <c r="F1352" s="207"/>
      <c r="G1352" s="207"/>
      <c r="H1352" s="228"/>
    </row>
    <row r="1353" spans="1:8" ht="17.100000000000001" customHeight="1" x14ac:dyDescent="0.25">
      <c r="A1353" s="199"/>
      <c r="B1353" s="199"/>
      <c r="C1353" s="199"/>
      <c r="D1353" s="199"/>
      <c r="E1353" s="207"/>
      <c r="F1353" s="207"/>
      <c r="G1353" s="207"/>
      <c r="H1353" s="228"/>
    </row>
    <row r="1354" spans="1:8" ht="17.100000000000001" customHeight="1" x14ac:dyDescent="0.25">
      <c r="A1354" s="248"/>
      <c r="E1354" s="208" t="s">
        <v>50</v>
      </c>
      <c r="F1354" s="208"/>
      <c r="G1354" s="208"/>
      <c r="H1354" s="228">
        <f>ROUND(SUM(G1351)+(G1352),0)</f>
        <v>0</v>
      </c>
    </row>
    <row r="1355" spans="1:8" ht="17.100000000000001" customHeight="1" x14ac:dyDescent="0.25">
      <c r="A1355" s="247"/>
      <c r="E1355" s="208"/>
      <c r="F1355" s="208"/>
      <c r="G1355" s="208"/>
      <c r="H1355" s="228"/>
    </row>
    <row r="1356" spans="1:8" ht="17.100000000000001" customHeight="1" x14ac:dyDescent="0.25">
      <c r="A1356" s="247"/>
      <c r="D1356" s="215" t="s">
        <v>54</v>
      </c>
      <c r="E1356" s="216"/>
      <c r="F1356" s="216"/>
      <c r="G1356" s="216"/>
      <c r="H1356" s="453">
        <f>ROUND(SUM(H1334:H1355),2)</f>
        <v>1341437.5</v>
      </c>
    </row>
    <row r="1357" spans="1:8" ht="17.100000000000001" customHeight="1" x14ac:dyDescent="0.25">
      <c r="A1357" s="247"/>
      <c r="E1357" s="208"/>
      <c r="F1357" s="208"/>
      <c r="G1357" s="208"/>
      <c r="H1357" s="228"/>
    </row>
    <row r="1358" spans="1:8" ht="17.100000000000001" customHeight="1" x14ac:dyDescent="0.25">
      <c r="A1358" s="206" t="s">
        <v>55</v>
      </c>
      <c r="B1358" s="704" t="s">
        <v>56</v>
      </c>
      <c r="C1358" s="704"/>
      <c r="D1358" s="704"/>
      <c r="E1358" s="704"/>
      <c r="F1358" s="704"/>
      <c r="G1358" s="704"/>
      <c r="H1358" s="228"/>
    </row>
    <row r="1359" spans="1:8" ht="17.100000000000001" customHeight="1" x14ac:dyDescent="0.25">
      <c r="A1359" s="225"/>
      <c r="B1359" s="225" t="s">
        <v>31</v>
      </c>
      <c r="C1359" s="225" t="s">
        <v>57</v>
      </c>
      <c r="D1359" s="199" t="s">
        <v>58</v>
      </c>
      <c r="E1359" s="207"/>
      <c r="F1359" s="207" t="s">
        <v>59</v>
      </c>
      <c r="G1359" s="207"/>
      <c r="H1359" s="228"/>
    </row>
    <row r="1360" spans="1:8" ht="17.100000000000001" customHeight="1" x14ac:dyDescent="0.25">
      <c r="A1360" s="199"/>
      <c r="B1360" s="225" t="s">
        <v>60</v>
      </c>
      <c r="C1360" s="212">
        <v>0.28000000000000003</v>
      </c>
      <c r="D1360" s="199"/>
      <c r="E1360" s="210"/>
      <c r="F1360" s="199"/>
      <c r="G1360" s="218">
        <f>+H1356*C1360</f>
        <v>375602.50000000006</v>
      </c>
      <c r="H1360" s="228"/>
    </row>
    <row r="1361" spans="1:27" ht="17.100000000000001" customHeight="1" x14ac:dyDescent="0.25">
      <c r="A1361" s="199"/>
      <c r="B1361" s="225" t="s">
        <v>61</v>
      </c>
      <c r="C1361" s="212">
        <v>0.01</v>
      </c>
      <c r="D1361" s="199"/>
      <c r="E1361" s="210"/>
      <c r="F1361" s="199"/>
      <c r="G1361" s="218">
        <f>+H1356*C1361</f>
        <v>13414.375</v>
      </c>
      <c r="H1361" s="228"/>
    </row>
    <row r="1362" spans="1:27" ht="17.100000000000001" customHeight="1" x14ac:dyDescent="0.25">
      <c r="A1362" s="199"/>
      <c r="B1362" s="225" t="s">
        <v>62</v>
      </c>
      <c r="C1362" s="212">
        <v>0.03</v>
      </c>
      <c r="D1362" s="199"/>
      <c r="E1362" s="210"/>
      <c r="F1362" s="199"/>
      <c r="G1362" s="218">
        <f>+H1356*C1362</f>
        <v>40243.125</v>
      </c>
      <c r="H1362" s="228"/>
    </row>
    <row r="1363" spans="1:27" ht="17.100000000000001" customHeight="1" x14ac:dyDescent="0.25">
      <c r="A1363" s="247"/>
      <c r="D1363" s="215" t="s">
        <v>63</v>
      </c>
      <c r="E1363" s="216"/>
      <c r="F1363" s="216"/>
      <c r="G1363" s="216"/>
      <c r="H1363" s="453">
        <f>SUM(G1359:G1362)</f>
        <v>429260.00000000006</v>
      </c>
    </row>
    <row r="1364" spans="1:27" ht="17.100000000000001" customHeight="1" x14ac:dyDescent="0.25">
      <c r="A1364" s="247"/>
      <c r="E1364" s="208"/>
      <c r="F1364" s="208"/>
      <c r="G1364" s="208"/>
      <c r="H1364" s="228"/>
    </row>
    <row r="1365" spans="1:27" ht="17.100000000000001" customHeight="1" x14ac:dyDescent="0.25">
      <c r="A1365" s="247"/>
      <c r="D1365" s="215" t="s">
        <v>64</v>
      </c>
      <c r="E1365" s="216"/>
      <c r="F1365" s="216"/>
      <c r="G1365" s="208"/>
      <c r="H1365" s="453">
        <f>H1356+H1363</f>
        <v>1770697.5</v>
      </c>
    </row>
    <row r="1366" spans="1:27" ht="17.100000000000001" customHeight="1" x14ac:dyDescent="0.25">
      <c r="A1366" s="247"/>
      <c r="D1366" s="215"/>
      <c r="E1366" s="216"/>
      <c r="F1366" s="216"/>
      <c r="G1366" s="208"/>
      <c r="H1366" s="228"/>
    </row>
    <row r="1367" spans="1:27" ht="17.100000000000001" customHeight="1" x14ac:dyDescent="0.25">
      <c r="A1367" s="205"/>
      <c r="B1367" s="204"/>
      <c r="E1367" s="219"/>
      <c r="F1367" s="220"/>
      <c r="G1367" s="203"/>
      <c r="H1367" s="228"/>
    </row>
    <row r="1368" spans="1:27" ht="17.100000000000001" customHeight="1" x14ac:dyDescent="0.25">
      <c r="A1368" s="249" t="str">
        <f>+A1311</f>
        <v>ING JHON ALEXANDER ARIAS</v>
      </c>
      <c r="B1368" s="217"/>
      <c r="E1368" s="216" t="str">
        <f>+E1311</f>
        <v>ARQ. GUILLERMO YAMID VALLEJOS BENAVIDES</v>
      </c>
      <c r="F1368" s="208"/>
      <c r="G1368" s="208"/>
      <c r="H1368" s="228"/>
    </row>
    <row r="1369" spans="1:27" ht="16.5" customHeight="1" x14ac:dyDescent="0.25">
      <c r="A1369" s="250" t="str">
        <f t="shared" ref="A1369:A1370" si="29">+A1312</f>
        <v>APOYO PROFESIONAL SPOPM</v>
      </c>
      <c r="B1369" s="217"/>
      <c r="E1369" s="208" t="str">
        <f t="shared" ref="E1369:E1370" si="30">+E1312</f>
        <v>SECRETARIO DE PLANEACION Y OBRAS PUBLICAS</v>
      </c>
      <c r="F1369" s="208"/>
      <c r="G1369" s="208"/>
      <c r="H1369" s="228"/>
    </row>
    <row r="1370" spans="1:27" ht="17.100000000000001" customHeight="1" x14ac:dyDescent="0.25">
      <c r="A1370" s="250" t="str">
        <f t="shared" si="29"/>
        <v>MP 111037-0703225 NRÑ</v>
      </c>
      <c r="B1370" s="251"/>
      <c r="C1370" s="204"/>
      <c r="D1370" s="204"/>
      <c r="E1370" s="203" t="str">
        <f t="shared" si="30"/>
        <v>SAN MIGUEL - PUTUMAYO</v>
      </c>
      <c r="F1370" s="203"/>
      <c r="G1370" s="203"/>
      <c r="H1370" s="246"/>
    </row>
    <row r="1373" spans="1:27" ht="17.100000000000001" customHeight="1" x14ac:dyDescent="0.3">
      <c r="A1373" s="705"/>
      <c r="B1373" s="706"/>
      <c r="C1373" s="638" t="s">
        <v>224</v>
      </c>
      <c r="D1373" s="625" t="s">
        <v>225</v>
      </c>
      <c r="E1373" s="626"/>
      <c r="F1373" s="275">
        <v>103</v>
      </c>
      <c r="G1373" s="711"/>
      <c r="H1373" s="711"/>
      <c r="Q1373"/>
      <c r="R1373"/>
      <c r="S1373"/>
      <c r="T1373"/>
      <c r="U1373"/>
      <c r="V1373"/>
      <c r="W1373"/>
      <c r="X1373"/>
      <c r="Y1373"/>
      <c r="Z1373"/>
      <c r="AA1373"/>
    </row>
    <row r="1374" spans="1:27" ht="17.100000000000001" customHeight="1" x14ac:dyDescent="0.3">
      <c r="A1374" s="707"/>
      <c r="B1374" s="708"/>
      <c r="C1374" s="639"/>
      <c r="D1374" s="634" t="s">
        <v>195</v>
      </c>
      <c r="E1374" s="635"/>
      <c r="F1374" s="712">
        <v>51</v>
      </c>
      <c r="G1374" s="711"/>
      <c r="H1374" s="711"/>
      <c r="Q1374"/>
      <c r="R1374"/>
      <c r="S1374"/>
      <c r="T1374"/>
      <c r="U1374"/>
      <c r="V1374"/>
      <c r="W1374"/>
      <c r="X1374"/>
      <c r="Y1374"/>
      <c r="Z1374"/>
      <c r="AA1374"/>
    </row>
    <row r="1375" spans="1:27" ht="17.100000000000001" customHeight="1" x14ac:dyDescent="0.3">
      <c r="A1375" s="707"/>
      <c r="B1375" s="708"/>
      <c r="C1375" s="307" t="s">
        <v>196</v>
      </c>
      <c r="D1375" s="636"/>
      <c r="E1375" s="637"/>
      <c r="F1375" s="713"/>
      <c r="G1375" s="711"/>
      <c r="H1375" s="711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7.100000000000001" customHeight="1" x14ac:dyDescent="0.3">
      <c r="A1376" s="707"/>
      <c r="B1376" s="708"/>
      <c r="C1376" s="308" t="s">
        <v>197</v>
      </c>
      <c r="D1376" s="640" t="s">
        <v>198</v>
      </c>
      <c r="E1376" s="641"/>
      <c r="F1376" s="309">
        <v>1</v>
      </c>
      <c r="G1376" s="711"/>
      <c r="H1376" s="711"/>
      <c r="Q1376"/>
      <c r="R1376"/>
      <c r="S1376"/>
      <c r="T1376"/>
      <c r="U1376"/>
      <c r="V1376"/>
      <c r="W1376"/>
      <c r="X1376"/>
      <c r="Y1376"/>
      <c r="Z1376"/>
      <c r="AA1376"/>
    </row>
    <row r="1377" spans="1:27" ht="14.4" x14ac:dyDescent="0.3">
      <c r="A1377" s="707"/>
      <c r="B1377" s="708"/>
      <c r="C1377" s="714" t="s">
        <v>199</v>
      </c>
      <c r="D1377" s="716" t="s">
        <v>200</v>
      </c>
      <c r="E1377" s="717"/>
      <c r="F1377" s="307" t="s">
        <v>201</v>
      </c>
      <c r="G1377" s="711"/>
      <c r="H1377" s="711"/>
      <c r="Q1377"/>
      <c r="R1377"/>
      <c r="S1377"/>
      <c r="T1377"/>
      <c r="U1377"/>
      <c r="V1377"/>
      <c r="W1377"/>
      <c r="X1377"/>
      <c r="Y1377"/>
      <c r="Z1377"/>
      <c r="AA1377"/>
    </row>
    <row r="1378" spans="1:27" ht="17.100000000000001" customHeight="1" x14ac:dyDescent="0.3">
      <c r="A1378" s="709"/>
      <c r="B1378" s="710"/>
      <c r="C1378" s="715"/>
      <c r="D1378" s="718"/>
      <c r="E1378" s="719"/>
      <c r="F1378" s="310">
        <v>44216</v>
      </c>
      <c r="G1378" s="711"/>
      <c r="H1378" s="711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7.100000000000001" customHeight="1" thickBot="1" x14ac:dyDescent="0.35">
      <c r="A1379" s="720"/>
      <c r="B1379" s="721"/>
      <c r="C1379" s="721"/>
      <c r="D1379" s="721"/>
      <c r="E1379" s="721"/>
      <c r="F1379" s="721"/>
      <c r="G1379" s="721"/>
      <c r="H1379" s="722"/>
      <c r="Q1379"/>
      <c r="R1379"/>
      <c r="S1379"/>
      <c r="T1379"/>
      <c r="U1379"/>
      <c r="V1379"/>
      <c r="W1379"/>
      <c r="X1379"/>
      <c r="Y1379"/>
      <c r="Z1379"/>
      <c r="AA1379"/>
    </row>
    <row r="1380" spans="1:27" ht="24.75" customHeight="1" x14ac:dyDescent="0.3">
      <c r="A1380" s="723" t="str">
        <f>Presupuesto!A8</f>
        <v>ADECUACION Y MEJORAMIENTO DE AULAS ESCOLARES UBICADA EN LA INSTITUCION EDUCATIVA TECNICO COMERCIAL LA DORADA SEDE ESCUELA CENTRAL DEL MUNICIPIO DE SAN MIGUEL PUTUMAYO</v>
      </c>
      <c r="B1380" s="724"/>
      <c r="C1380" s="724"/>
      <c r="D1380" s="724"/>
      <c r="E1380" s="724"/>
      <c r="F1380" s="724"/>
      <c r="G1380" s="724"/>
      <c r="H1380" s="725"/>
      <c r="Q1380"/>
      <c r="R1380"/>
      <c r="S1380"/>
      <c r="T1380"/>
      <c r="U1380"/>
      <c r="V1380"/>
      <c r="W1380"/>
      <c r="X1380"/>
      <c r="Y1380"/>
      <c r="Z1380"/>
      <c r="AA1380"/>
    </row>
    <row r="1381" spans="1:27" ht="18" customHeight="1" thickBot="1" x14ac:dyDescent="0.35">
      <c r="A1381" s="726"/>
      <c r="B1381" s="727"/>
      <c r="C1381" s="727"/>
      <c r="D1381" s="727"/>
      <c r="E1381" s="727"/>
      <c r="F1381" s="727"/>
      <c r="G1381" s="727"/>
      <c r="H1381" s="728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7.100000000000001" customHeight="1" thickBot="1" x14ac:dyDescent="0.35">
      <c r="A1382" s="273"/>
      <c r="B1382" s="274"/>
      <c r="C1382" s="274"/>
      <c r="D1382" s="274"/>
      <c r="E1382" s="274"/>
      <c r="F1382" s="274"/>
      <c r="G1382" s="274"/>
      <c r="H1382" s="447"/>
      <c r="Q1382"/>
      <c r="R1382"/>
      <c r="S1382"/>
      <c r="T1382"/>
      <c r="U1382"/>
      <c r="V1382"/>
      <c r="W1382"/>
      <c r="X1382"/>
      <c r="Y1382"/>
      <c r="Z1382"/>
      <c r="AA1382"/>
    </row>
    <row r="1383" spans="1:27" ht="17.100000000000001" customHeight="1" thickBot="1" x14ac:dyDescent="0.35">
      <c r="A1383" s="729" t="s">
        <v>26</v>
      </c>
      <c r="B1383" s="730"/>
      <c r="C1383" s="730"/>
      <c r="D1383" s="730"/>
      <c r="E1383" s="730"/>
      <c r="F1383" s="730"/>
      <c r="G1383" s="730"/>
      <c r="H1383" s="731"/>
      <c r="Q1383"/>
      <c r="R1383"/>
      <c r="S1383"/>
      <c r="T1383"/>
      <c r="U1383"/>
      <c r="V1383"/>
      <c r="W1383"/>
      <c r="X1383"/>
      <c r="Y1383"/>
      <c r="Z1383"/>
      <c r="AA1383"/>
    </row>
    <row r="1384" spans="1:27" ht="17.100000000000001" customHeight="1" thickBot="1" x14ac:dyDescent="0.35">
      <c r="A1384" s="247"/>
      <c r="H1384" s="24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7.100000000000001" customHeight="1" thickBot="1" x14ac:dyDescent="0.35">
      <c r="A1385" s="351">
        <f>Presupuesto!A47</f>
        <v>5.4</v>
      </c>
      <c r="B1385" s="732" t="str">
        <f>Presupuesto!B47</f>
        <v>VENTANA TIPO REJA EN MARCO GALVANIZADO BARRA CUADRADA MEDIDAS 1,40X1,50 m</v>
      </c>
      <c r="C1385" s="733"/>
      <c r="D1385" s="733"/>
      <c r="E1385" s="733"/>
      <c r="F1385" s="734"/>
      <c r="G1385" s="352" t="s">
        <v>28</v>
      </c>
      <c r="H1385" s="452" t="str">
        <f>Presupuesto!D47</f>
        <v>UND</v>
      </c>
      <c r="Q1385"/>
      <c r="R1385"/>
      <c r="S1385"/>
      <c r="T1385"/>
      <c r="U1385"/>
      <c r="V1385"/>
      <c r="W1385"/>
      <c r="X1385"/>
      <c r="Y1385"/>
      <c r="Z1385"/>
      <c r="AA1385"/>
    </row>
    <row r="1386" spans="1:27" ht="17.100000000000001" customHeight="1" x14ac:dyDescent="0.3">
      <c r="A1386" s="247"/>
      <c r="H1386" s="244"/>
      <c r="Q1386"/>
      <c r="R1386"/>
      <c r="S1386"/>
      <c r="T1386"/>
      <c r="U1386"/>
      <c r="V1386"/>
      <c r="W1386"/>
      <c r="X1386"/>
      <c r="Y1386"/>
      <c r="Z1386"/>
      <c r="AA1386"/>
    </row>
    <row r="1387" spans="1:27" ht="17.100000000000001" customHeight="1" x14ac:dyDescent="0.3">
      <c r="A1387" s="206" t="s">
        <v>29</v>
      </c>
      <c r="B1387" s="704" t="s">
        <v>30</v>
      </c>
      <c r="C1387" s="704"/>
      <c r="D1387" s="704"/>
      <c r="E1387" s="704"/>
      <c r="F1387" s="704"/>
      <c r="G1387" s="704"/>
      <c r="H1387" s="244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7.100000000000001" customHeight="1" x14ac:dyDescent="0.3">
      <c r="A1388" s="225"/>
      <c r="B1388" s="735" t="s">
        <v>31</v>
      </c>
      <c r="C1388" s="736"/>
      <c r="D1388" s="225" t="s">
        <v>32</v>
      </c>
      <c r="E1388" s="225" t="s">
        <v>33</v>
      </c>
      <c r="F1388" s="225" t="s">
        <v>34</v>
      </c>
      <c r="G1388" s="225" t="s">
        <v>35</v>
      </c>
      <c r="H1388" s="244"/>
      <c r="Q1388"/>
      <c r="R1388"/>
      <c r="S1388"/>
      <c r="T1388"/>
      <c r="U1388"/>
      <c r="V1388"/>
      <c r="W1388"/>
      <c r="X1388"/>
      <c r="Y1388"/>
      <c r="Z1388"/>
      <c r="AA1388"/>
    </row>
    <row r="1389" spans="1:27" ht="17.100000000000001" customHeight="1" x14ac:dyDescent="0.3">
      <c r="A1389" s="199"/>
      <c r="B1389" s="737" t="s">
        <v>67</v>
      </c>
      <c r="C1389" s="738"/>
      <c r="D1389" s="199"/>
      <c r="E1389" s="207"/>
      <c r="F1389" s="207">
        <v>0.1</v>
      </c>
      <c r="G1389" s="218">
        <f>H1406*F1389</f>
        <v>8312.5</v>
      </c>
      <c r="H1389" s="245"/>
      <c r="Q1389"/>
      <c r="R1389"/>
      <c r="S1389"/>
      <c r="T1389"/>
      <c r="U1389"/>
      <c r="V1389"/>
      <c r="W1389"/>
      <c r="X1389"/>
      <c r="Y1389"/>
      <c r="Z1389"/>
      <c r="AA1389"/>
    </row>
    <row r="1390" spans="1:27" ht="17.100000000000001" customHeight="1" x14ac:dyDescent="0.25">
      <c r="A1390" s="199"/>
      <c r="B1390" s="735"/>
      <c r="C1390" s="736"/>
      <c r="D1390" s="199"/>
      <c r="E1390" s="207"/>
      <c r="F1390" s="207"/>
      <c r="G1390" s="207"/>
      <c r="H1390" s="245"/>
    </row>
    <row r="1391" spans="1:27" ht="17.100000000000001" customHeight="1" x14ac:dyDescent="0.25">
      <c r="A1391" s="199"/>
      <c r="B1391" s="735"/>
      <c r="C1391" s="736"/>
      <c r="D1391" s="199"/>
      <c r="E1391" s="207"/>
      <c r="F1391" s="207"/>
      <c r="G1391" s="207"/>
      <c r="H1391" s="228"/>
    </row>
    <row r="1392" spans="1:27" ht="17.100000000000001" customHeight="1" x14ac:dyDescent="0.25">
      <c r="A1392" s="248"/>
      <c r="E1392" s="208" t="s">
        <v>36</v>
      </c>
      <c r="F1392" s="208"/>
      <c r="G1392" s="208"/>
      <c r="H1392" s="370">
        <f>SUM(G1389:G1391)</f>
        <v>8312.5</v>
      </c>
    </row>
    <row r="1393" spans="1:8" ht="17.100000000000001" customHeight="1" x14ac:dyDescent="0.25">
      <c r="A1393" s="206" t="s">
        <v>37</v>
      </c>
      <c r="B1393" s="704" t="s">
        <v>38</v>
      </c>
      <c r="C1393" s="704"/>
      <c r="D1393" s="704"/>
      <c r="E1393" s="704"/>
      <c r="F1393" s="704"/>
      <c r="G1393" s="704"/>
      <c r="H1393" s="228"/>
    </row>
    <row r="1394" spans="1:8" ht="17.100000000000001" customHeight="1" x14ac:dyDescent="0.25">
      <c r="A1394" s="225"/>
      <c r="B1394" s="735" t="s">
        <v>31</v>
      </c>
      <c r="C1394" s="736"/>
      <c r="D1394" s="199" t="s">
        <v>12</v>
      </c>
      <c r="E1394" s="209" t="s">
        <v>39</v>
      </c>
      <c r="F1394" s="209" t="s">
        <v>40</v>
      </c>
      <c r="G1394" s="209" t="s">
        <v>35</v>
      </c>
      <c r="H1394" s="228"/>
    </row>
    <row r="1395" spans="1:8" ht="31.2" customHeight="1" x14ac:dyDescent="0.25">
      <c r="A1395" s="199"/>
      <c r="B1395" s="751" t="s">
        <v>408</v>
      </c>
      <c r="C1395" s="752"/>
      <c r="D1395" s="221" t="s">
        <v>12</v>
      </c>
      <c r="E1395" s="207">
        <v>1</v>
      </c>
      <c r="F1395" s="207">
        <v>600000</v>
      </c>
      <c r="G1395" s="207">
        <f>E1395*F1395</f>
        <v>600000</v>
      </c>
      <c r="H1395" s="228"/>
    </row>
    <row r="1396" spans="1:8" ht="17.100000000000001" customHeight="1" x14ac:dyDescent="0.25">
      <c r="A1396" s="199"/>
      <c r="B1396" s="746"/>
      <c r="C1396" s="747"/>
      <c r="D1396" s="221"/>
      <c r="E1396" s="207"/>
      <c r="F1396" s="207"/>
      <c r="G1396" s="207"/>
      <c r="H1396" s="228"/>
    </row>
    <row r="1397" spans="1:8" ht="17.100000000000001" customHeight="1" x14ac:dyDescent="0.25">
      <c r="A1397" s="199"/>
      <c r="B1397" s="746"/>
      <c r="C1397" s="747"/>
      <c r="D1397" s="221"/>
      <c r="E1397" s="221"/>
      <c r="F1397" s="207"/>
      <c r="G1397" s="207"/>
      <c r="H1397" s="228"/>
    </row>
    <row r="1398" spans="1:8" ht="17.100000000000001" customHeight="1" x14ac:dyDescent="0.25">
      <c r="A1398" s="199"/>
      <c r="B1398" s="746"/>
      <c r="C1398" s="747"/>
      <c r="D1398" s="199"/>
      <c r="E1398" s="207"/>
      <c r="F1398" s="207"/>
      <c r="G1398" s="207"/>
      <c r="H1398" s="228"/>
    </row>
    <row r="1399" spans="1:8" ht="17.100000000000001" customHeight="1" x14ac:dyDescent="0.25">
      <c r="A1399" s="199"/>
      <c r="B1399" s="746"/>
      <c r="C1399" s="747"/>
      <c r="D1399" s="199"/>
      <c r="E1399" s="207"/>
      <c r="F1399" s="207"/>
      <c r="G1399" s="207"/>
      <c r="H1399" s="228"/>
    </row>
    <row r="1400" spans="1:8" ht="17.100000000000001" customHeight="1" x14ac:dyDescent="0.25">
      <c r="A1400" s="248" t="s">
        <v>41</v>
      </c>
      <c r="E1400" s="208" t="s">
        <v>42</v>
      </c>
      <c r="F1400" s="208"/>
      <c r="G1400" s="208"/>
      <c r="H1400" s="454">
        <f>(SUM(G1395:G1397))</f>
        <v>600000</v>
      </c>
    </row>
    <row r="1401" spans="1:8" ht="17.100000000000001" customHeight="1" x14ac:dyDescent="0.25">
      <c r="A1401" s="206" t="s">
        <v>43</v>
      </c>
      <c r="B1401" s="704" t="s">
        <v>44</v>
      </c>
      <c r="C1401" s="704"/>
      <c r="D1401" s="704"/>
      <c r="E1401" s="704"/>
      <c r="F1401" s="704"/>
      <c r="G1401" s="704"/>
      <c r="H1401" s="228"/>
    </row>
    <row r="1402" spans="1:8" ht="17.100000000000001" customHeight="1" x14ac:dyDescent="0.25">
      <c r="A1402" s="199" t="s">
        <v>45</v>
      </c>
      <c r="B1402" s="225" t="s">
        <v>31</v>
      </c>
      <c r="C1402" s="225" t="s">
        <v>46</v>
      </c>
      <c r="D1402" s="225" t="s">
        <v>47</v>
      </c>
      <c r="E1402" s="209" t="s">
        <v>48</v>
      </c>
      <c r="F1402" s="207" t="s">
        <v>34</v>
      </c>
      <c r="G1402" s="207" t="s">
        <v>35</v>
      </c>
      <c r="H1402" s="228"/>
    </row>
    <row r="1403" spans="1:8" ht="17.100000000000001" customHeight="1" x14ac:dyDescent="0.25">
      <c r="A1403" s="199">
        <v>1</v>
      </c>
      <c r="B1403" s="199" t="s">
        <v>189</v>
      </c>
      <c r="C1403" s="211">
        <v>70000</v>
      </c>
      <c r="D1403" s="212">
        <v>0.75</v>
      </c>
      <c r="E1403" s="210">
        <f>+(A1403*C1403)+(A1403*C1403*D1403)</f>
        <v>122500</v>
      </c>
      <c r="F1403" s="213">
        <v>4</v>
      </c>
      <c r="G1403" s="218">
        <f>(E1403)/(F1403)</f>
        <v>30625</v>
      </c>
      <c r="H1403" s="228"/>
    </row>
    <row r="1404" spans="1:8" ht="17.100000000000001" customHeight="1" x14ac:dyDescent="0.25">
      <c r="A1404" s="199">
        <v>1</v>
      </c>
      <c r="B1404" s="199" t="s">
        <v>233</v>
      </c>
      <c r="C1404" s="211">
        <v>120000</v>
      </c>
      <c r="D1404" s="212">
        <v>0.75</v>
      </c>
      <c r="E1404" s="210">
        <f>+(A1404*C1404)+(A1404*C1404*D1404)</f>
        <v>210000</v>
      </c>
      <c r="F1404" s="213">
        <v>4</v>
      </c>
      <c r="G1404" s="218">
        <f>(E1404)/(F1404)</f>
        <v>52500</v>
      </c>
      <c r="H1404" s="228"/>
    </row>
    <row r="1405" spans="1:8" ht="17.100000000000001" customHeight="1" x14ac:dyDescent="0.25">
      <c r="A1405" s="199"/>
      <c r="B1405" s="199"/>
      <c r="C1405" s="199"/>
      <c r="D1405" s="199"/>
      <c r="E1405" s="207"/>
      <c r="F1405" s="207"/>
      <c r="G1405" s="207"/>
      <c r="H1405" s="228"/>
    </row>
    <row r="1406" spans="1:8" ht="17.100000000000001" customHeight="1" x14ac:dyDescent="0.25">
      <c r="A1406" s="248"/>
      <c r="E1406" s="208" t="s">
        <v>50</v>
      </c>
      <c r="F1406" s="208"/>
      <c r="G1406" s="208"/>
      <c r="H1406" s="453">
        <f>SUM(G1403)+(G1404)</f>
        <v>83125</v>
      </c>
    </row>
    <row r="1407" spans="1:8" ht="17.100000000000001" customHeight="1" x14ac:dyDescent="0.25">
      <c r="A1407" s="206" t="s">
        <v>51</v>
      </c>
      <c r="B1407" s="704" t="s">
        <v>18</v>
      </c>
      <c r="C1407" s="704"/>
      <c r="D1407" s="704"/>
      <c r="E1407" s="704"/>
      <c r="F1407" s="704"/>
      <c r="G1407" s="704"/>
      <c r="H1407" s="228"/>
    </row>
    <row r="1408" spans="1:8" ht="17.100000000000001" customHeight="1" x14ac:dyDescent="0.25">
      <c r="A1408" s="199"/>
      <c r="B1408" s="199" t="s">
        <v>31</v>
      </c>
      <c r="C1408" s="225" t="s">
        <v>12</v>
      </c>
      <c r="D1408" s="225" t="s">
        <v>13</v>
      </c>
      <c r="E1408" s="225" t="s">
        <v>52</v>
      </c>
      <c r="F1408" s="225"/>
      <c r="G1408" s="207" t="s">
        <v>53</v>
      </c>
      <c r="H1408" s="228"/>
    </row>
    <row r="1409" spans="1:8" ht="17.100000000000001" customHeight="1" x14ac:dyDescent="0.25">
      <c r="A1409" s="199"/>
      <c r="B1409" s="199"/>
      <c r="C1409" s="214"/>
      <c r="D1409" s="199"/>
      <c r="E1409" s="207"/>
      <c r="F1409" s="207"/>
      <c r="G1409" s="207"/>
      <c r="H1409" s="228"/>
    </row>
    <row r="1410" spans="1:8" ht="17.100000000000001" customHeight="1" x14ac:dyDescent="0.25">
      <c r="A1410" s="199"/>
      <c r="B1410" s="199"/>
      <c r="C1410" s="210"/>
      <c r="D1410" s="199"/>
      <c r="E1410" s="207"/>
      <c r="F1410" s="207"/>
      <c r="G1410" s="207"/>
      <c r="H1410" s="228"/>
    </row>
    <row r="1411" spans="1:8" ht="17.100000000000001" customHeight="1" x14ac:dyDescent="0.25">
      <c r="A1411" s="199"/>
      <c r="B1411" s="199"/>
      <c r="C1411" s="199"/>
      <c r="D1411" s="199"/>
      <c r="E1411" s="207"/>
      <c r="F1411" s="207"/>
      <c r="G1411" s="207"/>
      <c r="H1411" s="228"/>
    </row>
    <row r="1412" spans="1:8" ht="17.100000000000001" customHeight="1" x14ac:dyDescent="0.25">
      <c r="A1412" s="248"/>
      <c r="E1412" s="208" t="s">
        <v>50</v>
      </c>
      <c r="F1412" s="208"/>
      <c r="G1412" s="208"/>
      <c r="H1412" s="228">
        <f>ROUND(SUM(G1409)+(G1410),0)</f>
        <v>0</v>
      </c>
    </row>
    <row r="1413" spans="1:8" ht="17.100000000000001" customHeight="1" x14ac:dyDescent="0.25">
      <c r="A1413" s="247"/>
      <c r="E1413" s="208"/>
      <c r="F1413" s="208"/>
      <c r="G1413" s="208"/>
      <c r="H1413" s="228"/>
    </row>
    <row r="1414" spans="1:8" ht="17.100000000000001" customHeight="1" x14ac:dyDescent="0.25">
      <c r="A1414" s="247"/>
      <c r="D1414" s="215" t="s">
        <v>54</v>
      </c>
      <c r="E1414" s="216"/>
      <c r="F1414" s="216"/>
      <c r="G1414" s="216"/>
      <c r="H1414" s="453">
        <f>ROUND(SUM(H1392:H1413),2)</f>
        <v>691437.5</v>
      </c>
    </row>
    <row r="1415" spans="1:8" ht="17.100000000000001" customHeight="1" x14ac:dyDescent="0.25">
      <c r="A1415" s="247"/>
      <c r="E1415" s="208"/>
      <c r="F1415" s="208"/>
      <c r="G1415" s="208"/>
      <c r="H1415" s="228"/>
    </row>
    <row r="1416" spans="1:8" ht="17.100000000000001" customHeight="1" x14ac:dyDescent="0.25">
      <c r="A1416" s="206" t="s">
        <v>55</v>
      </c>
      <c r="B1416" s="704" t="s">
        <v>56</v>
      </c>
      <c r="C1416" s="704"/>
      <c r="D1416" s="704"/>
      <c r="E1416" s="704"/>
      <c r="F1416" s="704"/>
      <c r="G1416" s="704"/>
      <c r="H1416" s="228"/>
    </row>
    <row r="1417" spans="1:8" ht="17.100000000000001" customHeight="1" x14ac:dyDescent="0.25">
      <c r="A1417" s="225"/>
      <c r="B1417" s="225" t="s">
        <v>31</v>
      </c>
      <c r="C1417" s="225" t="s">
        <v>57</v>
      </c>
      <c r="D1417" s="199" t="s">
        <v>58</v>
      </c>
      <c r="E1417" s="207"/>
      <c r="F1417" s="207" t="s">
        <v>59</v>
      </c>
      <c r="G1417" s="207"/>
      <c r="H1417" s="228"/>
    </row>
    <row r="1418" spans="1:8" ht="17.100000000000001" customHeight="1" x14ac:dyDescent="0.25">
      <c r="A1418" s="199"/>
      <c r="B1418" s="225" t="s">
        <v>60</v>
      </c>
      <c r="C1418" s="212">
        <v>0.28000000000000003</v>
      </c>
      <c r="D1418" s="199"/>
      <c r="E1418" s="210"/>
      <c r="F1418" s="199"/>
      <c r="G1418" s="218">
        <f>+H1414*C1418</f>
        <v>193602.50000000003</v>
      </c>
      <c r="H1418" s="228"/>
    </row>
    <row r="1419" spans="1:8" ht="17.100000000000001" customHeight="1" x14ac:dyDescent="0.25">
      <c r="A1419" s="199"/>
      <c r="B1419" s="225" t="s">
        <v>61</v>
      </c>
      <c r="C1419" s="212">
        <v>0.01</v>
      </c>
      <c r="D1419" s="199"/>
      <c r="E1419" s="210"/>
      <c r="F1419" s="199"/>
      <c r="G1419" s="218">
        <f>+H1414*C1419</f>
        <v>6914.375</v>
      </c>
      <c r="H1419" s="228"/>
    </row>
    <row r="1420" spans="1:8" ht="17.100000000000001" customHeight="1" x14ac:dyDescent="0.25">
      <c r="A1420" s="199"/>
      <c r="B1420" s="225" t="s">
        <v>62</v>
      </c>
      <c r="C1420" s="212">
        <v>0.03</v>
      </c>
      <c r="D1420" s="199"/>
      <c r="E1420" s="210"/>
      <c r="F1420" s="199"/>
      <c r="G1420" s="218">
        <f>+H1414*C1420</f>
        <v>20743.125</v>
      </c>
      <c r="H1420" s="228"/>
    </row>
    <row r="1421" spans="1:8" ht="17.100000000000001" customHeight="1" x14ac:dyDescent="0.25">
      <c r="A1421" s="247"/>
      <c r="D1421" s="215" t="s">
        <v>63</v>
      </c>
      <c r="E1421" s="216"/>
      <c r="F1421" s="216"/>
      <c r="G1421" s="216"/>
      <c r="H1421" s="453">
        <f>SUM(G1417:G1420)</f>
        <v>221260.00000000003</v>
      </c>
    </row>
    <row r="1422" spans="1:8" ht="17.100000000000001" customHeight="1" x14ac:dyDescent="0.25">
      <c r="A1422" s="247"/>
      <c r="E1422" s="208"/>
      <c r="F1422" s="208"/>
      <c r="G1422" s="208"/>
      <c r="H1422" s="228"/>
    </row>
    <row r="1423" spans="1:8" ht="17.100000000000001" customHeight="1" x14ac:dyDescent="0.25">
      <c r="A1423" s="247"/>
      <c r="D1423" s="215" t="s">
        <v>64</v>
      </c>
      <c r="E1423" s="216"/>
      <c r="F1423" s="216"/>
      <c r="G1423" s="208"/>
      <c r="H1423" s="453">
        <f>H1414+H1421</f>
        <v>912697.5</v>
      </c>
    </row>
    <row r="1424" spans="1:8" ht="17.100000000000001" customHeight="1" x14ac:dyDescent="0.25">
      <c r="A1424" s="247"/>
      <c r="D1424" s="215"/>
      <c r="E1424" s="216"/>
      <c r="F1424" s="216"/>
      <c r="G1424" s="208"/>
      <c r="H1424" s="228"/>
    </row>
    <row r="1425" spans="1:27" ht="17.100000000000001" customHeight="1" x14ac:dyDescent="0.25">
      <c r="A1425" s="205"/>
      <c r="B1425" s="204"/>
      <c r="E1425" s="219"/>
      <c r="F1425" s="220"/>
      <c r="G1425" s="203"/>
      <c r="H1425" s="228"/>
    </row>
    <row r="1426" spans="1:27" ht="17.100000000000001" customHeight="1" x14ac:dyDescent="0.25">
      <c r="A1426" s="249" t="str">
        <f>A1368</f>
        <v>ING JHON ALEXANDER ARIAS</v>
      </c>
      <c r="B1426" s="217"/>
      <c r="E1426" s="216" t="str">
        <f>E1368</f>
        <v>ARQ. GUILLERMO YAMID VALLEJOS BENAVIDES</v>
      </c>
      <c r="F1426" s="208"/>
      <c r="G1426" s="208"/>
      <c r="H1426" s="228"/>
    </row>
    <row r="1427" spans="1:27" ht="16.5" customHeight="1" x14ac:dyDescent="0.25">
      <c r="A1427" s="250" t="str">
        <f>A1369</f>
        <v>APOYO PROFESIONAL SPOPM</v>
      </c>
      <c r="B1427" s="217"/>
      <c r="E1427" s="208" t="str">
        <f>E1369</f>
        <v>SECRETARIO DE PLANEACION Y OBRAS PUBLICAS</v>
      </c>
      <c r="F1427" s="208"/>
      <c r="G1427" s="208"/>
      <c r="H1427" s="228"/>
    </row>
    <row r="1428" spans="1:27" ht="17.100000000000001" customHeight="1" x14ac:dyDescent="0.25">
      <c r="A1428" s="250" t="str">
        <f>A1370</f>
        <v>MP 111037-0703225 NRÑ</v>
      </c>
      <c r="B1428" s="217"/>
      <c r="E1428" s="208" t="str">
        <f>E1370</f>
        <v>SAN MIGUEL - PUTUMAYO</v>
      </c>
      <c r="F1428" s="208"/>
      <c r="G1428" s="208"/>
      <c r="H1428" s="245"/>
    </row>
    <row r="1429" spans="1:27" ht="17.100000000000001" customHeight="1" x14ac:dyDescent="0.25">
      <c r="H1429" s="516"/>
    </row>
    <row r="1430" spans="1:27" ht="17.100000000000001" customHeight="1" x14ac:dyDescent="0.25">
      <c r="H1430" s="516"/>
    </row>
    <row r="1431" spans="1:27" ht="17.100000000000001" customHeight="1" x14ac:dyDescent="0.3">
      <c r="A1431" s="705"/>
      <c r="B1431" s="706"/>
      <c r="C1431" s="638" t="s">
        <v>224</v>
      </c>
      <c r="D1431" s="625" t="s">
        <v>225</v>
      </c>
      <c r="E1431" s="626"/>
      <c r="F1431" s="515">
        <v>103</v>
      </c>
      <c r="G1431" s="767"/>
      <c r="H1431" s="767"/>
      <c r="Q1431"/>
      <c r="R1431"/>
      <c r="S1431"/>
      <c r="T1431"/>
      <c r="U1431"/>
      <c r="V1431"/>
      <c r="W1431"/>
      <c r="X1431"/>
      <c r="Y1431"/>
      <c r="Z1431"/>
      <c r="AA1431"/>
    </row>
    <row r="1432" spans="1:27" ht="17.100000000000001" customHeight="1" x14ac:dyDescent="0.3">
      <c r="A1432" s="707"/>
      <c r="B1432" s="708"/>
      <c r="C1432" s="639"/>
      <c r="D1432" s="634" t="s">
        <v>195</v>
      </c>
      <c r="E1432" s="635"/>
      <c r="F1432" s="712">
        <v>51</v>
      </c>
      <c r="G1432" s="711"/>
      <c r="H1432" s="711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7.100000000000001" customHeight="1" x14ac:dyDescent="0.3">
      <c r="A1433" s="707"/>
      <c r="B1433" s="708"/>
      <c r="C1433" s="307" t="s">
        <v>196</v>
      </c>
      <c r="D1433" s="636"/>
      <c r="E1433" s="637"/>
      <c r="F1433" s="713"/>
      <c r="G1433" s="711"/>
      <c r="H1433" s="711"/>
      <c r="Q1433"/>
      <c r="R1433"/>
      <c r="S1433"/>
      <c r="T1433"/>
      <c r="U1433"/>
      <c r="V1433"/>
      <c r="W1433"/>
      <c r="X1433"/>
      <c r="Y1433"/>
      <c r="Z1433"/>
      <c r="AA1433"/>
    </row>
    <row r="1434" spans="1:27" ht="17.100000000000001" customHeight="1" x14ac:dyDescent="0.3">
      <c r="A1434" s="707"/>
      <c r="B1434" s="708"/>
      <c r="C1434" s="308" t="s">
        <v>197</v>
      </c>
      <c r="D1434" s="640" t="s">
        <v>198</v>
      </c>
      <c r="E1434" s="641"/>
      <c r="F1434" s="309">
        <v>1</v>
      </c>
      <c r="G1434" s="711"/>
      <c r="H1434" s="711"/>
      <c r="Q1434"/>
      <c r="R1434"/>
      <c r="S1434"/>
      <c r="T1434"/>
      <c r="U1434"/>
      <c r="V1434"/>
      <c r="W1434"/>
      <c r="X1434"/>
      <c r="Y1434"/>
      <c r="Z1434"/>
      <c r="AA1434"/>
    </row>
    <row r="1435" spans="1:27" ht="14.4" x14ac:dyDescent="0.3">
      <c r="A1435" s="707"/>
      <c r="B1435" s="708"/>
      <c r="C1435" s="714" t="s">
        <v>199</v>
      </c>
      <c r="D1435" s="716" t="s">
        <v>200</v>
      </c>
      <c r="E1435" s="717"/>
      <c r="F1435" s="307" t="s">
        <v>201</v>
      </c>
      <c r="G1435" s="711"/>
      <c r="H1435" s="711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7.100000000000001" customHeight="1" x14ac:dyDescent="0.3">
      <c r="A1436" s="709"/>
      <c r="B1436" s="710"/>
      <c r="C1436" s="715"/>
      <c r="D1436" s="718"/>
      <c r="E1436" s="719"/>
      <c r="F1436" s="310">
        <v>44216</v>
      </c>
      <c r="G1436" s="711"/>
      <c r="H1436" s="711"/>
      <c r="Q1436"/>
      <c r="R1436"/>
      <c r="S1436"/>
      <c r="T1436"/>
      <c r="U1436"/>
      <c r="V1436"/>
      <c r="W1436"/>
      <c r="X1436"/>
      <c r="Y1436"/>
      <c r="Z1436"/>
      <c r="AA1436"/>
    </row>
    <row r="1437" spans="1:27" ht="17.100000000000001" customHeight="1" thickBot="1" x14ac:dyDescent="0.35">
      <c r="A1437" s="720"/>
      <c r="B1437" s="721"/>
      <c r="C1437" s="721"/>
      <c r="D1437" s="721"/>
      <c r="E1437" s="721"/>
      <c r="F1437" s="721"/>
      <c r="G1437" s="721"/>
      <c r="H1437" s="722"/>
      <c r="Q1437"/>
      <c r="R1437"/>
      <c r="S1437"/>
      <c r="T1437"/>
      <c r="U1437"/>
      <c r="V1437"/>
      <c r="W1437"/>
      <c r="X1437"/>
      <c r="Y1437"/>
      <c r="Z1437"/>
      <c r="AA1437"/>
    </row>
    <row r="1438" spans="1:27" ht="24.75" customHeight="1" x14ac:dyDescent="0.3">
      <c r="A1438" s="723" t="str">
        <f>A1322</f>
        <v>ADECUACION Y MEJORAMIENTO DE AULAS ESCOLARES UBICADA EN LA INSTITUCION EDUCATIVA TECNICO COMERCIAL LA DORADA SEDE ESCUELA CENTRAL DEL MUNICIPIO DE SAN MIGUEL PUTUMAYO</v>
      </c>
      <c r="B1438" s="724"/>
      <c r="C1438" s="724"/>
      <c r="D1438" s="724"/>
      <c r="E1438" s="724"/>
      <c r="F1438" s="724"/>
      <c r="G1438" s="724"/>
      <c r="H1438" s="725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8" customHeight="1" thickBot="1" x14ac:dyDescent="0.35">
      <c r="A1439" s="726"/>
      <c r="B1439" s="727"/>
      <c r="C1439" s="727"/>
      <c r="D1439" s="727"/>
      <c r="E1439" s="727"/>
      <c r="F1439" s="727"/>
      <c r="G1439" s="727"/>
      <c r="H1439" s="728"/>
      <c r="Q1439"/>
      <c r="R1439"/>
      <c r="S1439"/>
      <c r="T1439"/>
      <c r="U1439"/>
      <c r="V1439"/>
      <c r="W1439"/>
      <c r="X1439"/>
      <c r="Y1439"/>
      <c r="Z1439"/>
      <c r="AA1439"/>
    </row>
    <row r="1440" spans="1:27" ht="17.100000000000001" customHeight="1" thickBot="1" x14ac:dyDescent="0.35">
      <c r="A1440" s="273"/>
      <c r="B1440" s="274"/>
      <c r="C1440" s="274"/>
      <c r="D1440" s="274"/>
      <c r="E1440" s="274"/>
      <c r="F1440" s="274"/>
      <c r="G1440" s="274"/>
      <c r="H1440" s="447"/>
      <c r="Q1440"/>
      <c r="R1440"/>
      <c r="S1440"/>
      <c r="T1440"/>
      <c r="U1440"/>
      <c r="V1440"/>
      <c r="W1440"/>
      <c r="X1440"/>
      <c r="Y1440"/>
      <c r="Z1440"/>
      <c r="AA1440"/>
    </row>
    <row r="1441" spans="1:27" ht="17.100000000000001" customHeight="1" thickBot="1" x14ac:dyDescent="0.35">
      <c r="A1441" s="729" t="s">
        <v>26</v>
      </c>
      <c r="B1441" s="730"/>
      <c r="C1441" s="730"/>
      <c r="D1441" s="730"/>
      <c r="E1441" s="730"/>
      <c r="F1441" s="730"/>
      <c r="G1441" s="730"/>
      <c r="H1441" s="73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7.100000000000001" customHeight="1" thickBot="1" x14ac:dyDescent="0.35">
      <c r="A1442" s="247"/>
      <c r="H1442" s="244"/>
      <c r="Q1442"/>
      <c r="R1442"/>
      <c r="S1442"/>
      <c r="T1442"/>
      <c r="U1442"/>
      <c r="V1442"/>
      <c r="W1442"/>
      <c r="X1442"/>
      <c r="Y1442"/>
      <c r="Z1442"/>
      <c r="AA1442"/>
    </row>
    <row r="1443" spans="1:27" ht="17.100000000000001" customHeight="1" thickBot="1" x14ac:dyDescent="0.35">
      <c r="A1443" s="351">
        <f>Presupuesto!A48</f>
        <v>5.5</v>
      </c>
      <c r="B1443" s="732" t="str">
        <f>Presupuesto!B48</f>
        <v>VENTANA TIPO REJA EN MARCO GALVANIZADO BARRA CUADRADA  MEDIDAS 1,98X1,45 M</v>
      </c>
      <c r="C1443" s="733"/>
      <c r="D1443" s="733"/>
      <c r="E1443" s="733"/>
      <c r="F1443" s="734"/>
      <c r="G1443" s="352" t="s">
        <v>28</v>
      </c>
      <c r="H1443" s="452" t="str">
        <f>Presupuesto!D48</f>
        <v>UND</v>
      </c>
      <c r="Q1443"/>
      <c r="R1443"/>
      <c r="S1443"/>
      <c r="T1443"/>
      <c r="U1443"/>
      <c r="V1443"/>
      <c r="W1443"/>
      <c r="X1443"/>
      <c r="Y1443"/>
      <c r="Z1443"/>
      <c r="AA1443"/>
    </row>
    <row r="1444" spans="1:27" ht="17.100000000000001" customHeight="1" x14ac:dyDescent="0.3">
      <c r="A1444" s="247"/>
      <c r="H1444" s="2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7.100000000000001" customHeight="1" x14ac:dyDescent="0.3">
      <c r="A1445" s="206" t="s">
        <v>29</v>
      </c>
      <c r="B1445" s="704" t="s">
        <v>30</v>
      </c>
      <c r="C1445" s="704"/>
      <c r="D1445" s="704"/>
      <c r="E1445" s="704"/>
      <c r="F1445" s="704"/>
      <c r="G1445" s="704"/>
      <c r="H1445" s="244"/>
      <c r="Q1445"/>
      <c r="R1445"/>
      <c r="S1445"/>
      <c r="T1445"/>
      <c r="U1445"/>
      <c r="V1445"/>
      <c r="W1445"/>
      <c r="X1445"/>
      <c r="Y1445"/>
      <c r="Z1445"/>
      <c r="AA1445"/>
    </row>
    <row r="1446" spans="1:27" ht="17.100000000000001" customHeight="1" x14ac:dyDescent="0.3">
      <c r="A1446" s="225"/>
      <c r="B1446" s="735" t="s">
        <v>31</v>
      </c>
      <c r="C1446" s="736"/>
      <c r="D1446" s="225" t="s">
        <v>32</v>
      </c>
      <c r="E1446" s="225" t="s">
        <v>33</v>
      </c>
      <c r="F1446" s="225" t="s">
        <v>34</v>
      </c>
      <c r="G1446" s="225" t="s">
        <v>35</v>
      </c>
      <c r="H1446" s="244"/>
      <c r="Q1446"/>
      <c r="R1446"/>
      <c r="S1446"/>
      <c r="T1446"/>
      <c r="U1446"/>
      <c r="V1446"/>
      <c r="W1446"/>
      <c r="X1446"/>
      <c r="Y1446"/>
      <c r="Z1446"/>
      <c r="AA1446"/>
    </row>
    <row r="1447" spans="1:27" ht="17.100000000000001" customHeight="1" x14ac:dyDescent="0.3">
      <c r="A1447" s="199"/>
      <c r="B1447" s="737" t="s">
        <v>67</v>
      </c>
      <c r="C1447" s="738"/>
      <c r="D1447" s="199"/>
      <c r="E1447" s="207"/>
      <c r="F1447" s="207">
        <v>0.1</v>
      </c>
      <c r="G1447" s="218">
        <f>H1464*F1447</f>
        <v>8312.5</v>
      </c>
      <c r="H1447" s="245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7.100000000000001" customHeight="1" x14ac:dyDescent="0.25">
      <c r="A1448" s="199"/>
      <c r="B1448" s="735"/>
      <c r="C1448" s="736"/>
      <c r="D1448" s="199"/>
      <c r="E1448" s="207"/>
      <c r="F1448" s="207"/>
      <c r="G1448" s="207"/>
      <c r="H1448" s="245"/>
    </row>
    <row r="1449" spans="1:27" ht="17.100000000000001" customHeight="1" x14ac:dyDescent="0.25">
      <c r="A1449" s="199"/>
      <c r="B1449" s="735"/>
      <c r="C1449" s="736"/>
      <c r="D1449" s="199"/>
      <c r="E1449" s="207"/>
      <c r="F1449" s="207"/>
      <c r="G1449" s="207"/>
      <c r="H1449" s="228"/>
    </row>
    <row r="1450" spans="1:27" ht="17.100000000000001" customHeight="1" x14ac:dyDescent="0.25">
      <c r="A1450" s="248"/>
      <c r="E1450" s="208" t="s">
        <v>36</v>
      </c>
      <c r="F1450" s="208"/>
      <c r="G1450" s="208"/>
      <c r="H1450" s="370">
        <f>SUM(G1447:G1449)</f>
        <v>8312.5</v>
      </c>
    </row>
    <row r="1451" spans="1:27" ht="17.100000000000001" customHeight="1" x14ac:dyDescent="0.25">
      <c r="A1451" s="206" t="s">
        <v>37</v>
      </c>
      <c r="B1451" s="704" t="s">
        <v>38</v>
      </c>
      <c r="C1451" s="704"/>
      <c r="D1451" s="704"/>
      <c r="E1451" s="704"/>
      <c r="F1451" s="704"/>
      <c r="G1451" s="704"/>
      <c r="H1451" s="228"/>
    </row>
    <row r="1452" spans="1:27" ht="17.100000000000001" customHeight="1" x14ac:dyDescent="0.25">
      <c r="A1452" s="225"/>
      <c r="B1452" s="735" t="s">
        <v>31</v>
      </c>
      <c r="C1452" s="736"/>
      <c r="D1452" s="199" t="s">
        <v>12</v>
      </c>
      <c r="E1452" s="209" t="s">
        <v>39</v>
      </c>
      <c r="F1452" s="209" t="s">
        <v>40</v>
      </c>
      <c r="G1452" s="209" t="s">
        <v>35</v>
      </c>
      <c r="H1452" s="228"/>
    </row>
    <row r="1453" spans="1:27" ht="32.25" customHeight="1" x14ac:dyDescent="0.25">
      <c r="A1453" s="199"/>
      <c r="B1453" s="751" t="s">
        <v>409</v>
      </c>
      <c r="C1453" s="752"/>
      <c r="D1453" s="221" t="s">
        <v>12</v>
      </c>
      <c r="E1453" s="207">
        <v>1</v>
      </c>
      <c r="F1453" s="207">
        <v>950000</v>
      </c>
      <c r="G1453" s="207">
        <f>E1453*F1453</f>
        <v>950000</v>
      </c>
      <c r="H1453" s="228"/>
    </row>
    <row r="1454" spans="1:27" ht="17.100000000000001" customHeight="1" x14ac:dyDescent="0.25">
      <c r="A1454" s="199"/>
      <c r="B1454" s="746"/>
      <c r="C1454" s="747"/>
      <c r="D1454" s="221"/>
      <c r="E1454" s="207"/>
      <c r="F1454" s="207"/>
      <c r="G1454" s="207"/>
      <c r="H1454" s="228"/>
    </row>
    <row r="1455" spans="1:27" ht="17.100000000000001" customHeight="1" x14ac:dyDescent="0.25">
      <c r="A1455" s="199"/>
      <c r="B1455" s="746"/>
      <c r="C1455" s="747"/>
      <c r="D1455" s="221"/>
      <c r="E1455" s="221"/>
      <c r="F1455" s="207"/>
      <c r="G1455" s="207"/>
      <c r="H1455" s="228"/>
    </row>
    <row r="1456" spans="1:27" ht="17.100000000000001" customHeight="1" x14ac:dyDescent="0.25">
      <c r="A1456" s="199"/>
      <c r="B1456" s="746"/>
      <c r="C1456" s="747"/>
      <c r="D1456" s="199"/>
      <c r="E1456" s="207"/>
      <c r="F1456" s="207"/>
      <c r="G1456" s="207"/>
      <c r="H1456" s="228"/>
    </row>
    <row r="1457" spans="1:8" ht="17.100000000000001" customHeight="1" x14ac:dyDescent="0.25">
      <c r="A1457" s="199"/>
      <c r="B1457" s="746"/>
      <c r="C1457" s="747"/>
      <c r="D1457" s="199"/>
      <c r="E1457" s="207"/>
      <c r="F1457" s="207"/>
      <c r="G1457" s="207"/>
      <c r="H1457" s="228"/>
    </row>
    <row r="1458" spans="1:8" ht="17.100000000000001" customHeight="1" x14ac:dyDescent="0.25">
      <c r="A1458" s="248" t="s">
        <v>41</v>
      </c>
      <c r="E1458" s="208" t="s">
        <v>42</v>
      </c>
      <c r="F1458" s="208"/>
      <c r="G1458" s="208"/>
      <c r="H1458" s="454">
        <f>(SUM(G1453:G1455))</f>
        <v>950000</v>
      </c>
    </row>
    <row r="1459" spans="1:8" ht="17.100000000000001" customHeight="1" x14ac:dyDescent="0.25">
      <c r="A1459" s="206" t="s">
        <v>43</v>
      </c>
      <c r="B1459" s="704" t="s">
        <v>44</v>
      </c>
      <c r="C1459" s="704"/>
      <c r="D1459" s="704"/>
      <c r="E1459" s="704"/>
      <c r="F1459" s="704"/>
      <c r="G1459" s="704"/>
      <c r="H1459" s="228"/>
    </row>
    <row r="1460" spans="1:8" ht="17.100000000000001" customHeight="1" x14ac:dyDescent="0.25">
      <c r="A1460" s="199" t="s">
        <v>45</v>
      </c>
      <c r="B1460" s="225" t="s">
        <v>31</v>
      </c>
      <c r="C1460" s="225" t="s">
        <v>46</v>
      </c>
      <c r="D1460" s="225" t="s">
        <v>47</v>
      </c>
      <c r="E1460" s="209" t="s">
        <v>48</v>
      </c>
      <c r="F1460" s="207" t="s">
        <v>34</v>
      </c>
      <c r="G1460" s="207" t="s">
        <v>35</v>
      </c>
      <c r="H1460" s="228"/>
    </row>
    <row r="1461" spans="1:8" ht="17.100000000000001" customHeight="1" x14ac:dyDescent="0.25">
      <c r="A1461" s="199">
        <v>1</v>
      </c>
      <c r="B1461" s="199" t="s">
        <v>189</v>
      </c>
      <c r="C1461" s="211">
        <v>70000</v>
      </c>
      <c r="D1461" s="212">
        <v>0.75</v>
      </c>
      <c r="E1461" s="210">
        <f>+(A1461*C1461)+(A1461*C1461*D1461)</f>
        <v>122500</v>
      </c>
      <c r="F1461" s="423">
        <v>4</v>
      </c>
      <c r="G1461" s="218">
        <f>(E1461)/(F1461)</f>
        <v>30625</v>
      </c>
      <c r="H1461" s="228"/>
    </row>
    <row r="1462" spans="1:8" ht="17.100000000000001" customHeight="1" x14ac:dyDescent="0.25">
      <c r="A1462" s="199">
        <v>1</v>
      </c>
      <c r="B1462" s="199" t="s">
        <v>233</v>
      </c>
      <c r="C1462" s="211">
        <v>120000</v>
      </c>
      <c r="D1462" s="212">
        <v>0.75</v>
      </c>
      <c r="E1462" s="210">
        <f>+(A1462*C1462)+(A1462*C1462*D1462)</f>
        <v>210000</v>
      </c>
      <c r="F1462" s="423">
        <v>4</v>
      </c>
      <c r="G1462" s="218">
        <f>(E1462)/(F1462)</f>
        <v>52500</v>
      </c>
      <c r="H1462" s="228"/>
    </row>
    <row r="1463" spans="1:8" ht="17.100000000000001" customHeight="1" x14ac:dyDescent="0.25">
      <c r="A1463" s="199"/>
      <c r="B1463" s="199"/>
      <c r="C1463" s="199"/>
      <c r="D1463" s="199"/>
      <c r="E1463" s="207"/>
      <c r="F1463" s="207"/>
      <c r="G1463" s="207"/>
      <c r="H1463" s="228"/>
    </row>
    <row r="1464" spans="1:8" ht="17.100000000000001" customHeight="1" x14ac:dyDescent="0.25">
      <c r="A1464" s="248"/>
      <c r="E1464" s="208" t="s">
        <v>50</v>
      </c>
      <c r="F1464" s="208"/>
      <c r="G1464" s="208"/>
      <c r="H1464" s="453">
        <f>SUM(G1461)+(G1462)</f>
        <v>83125</v>
      </c>
    </row>
    <row r="1465" spans="1:8" ht="17.100000000000001" customHeight="1" x14ac:dyDescent="0.25">
      <c r="A1465" s="206" t="s">
        <v>51</v>
      </c>
      <c r="B1465" s="704" t="s">
        <v>18</v>
      </c>
      <c r="C1465" s="704"/>
      <c r="D1465" s="704"/>
      <c r="E1465" s="704"/>
      <c r="F1465" s="704"/>
      <c r="G1465" s="704"/>
      <c r="H1465" s="228"/>
    </row>
    <row r="1466" spans="1:8" ht="17.100000000000001" customHeight="1" x14ac:dyDescent="0.25">
      <c r="A1466" s="199"/>
      <c r="B1466" s="199" t="s">
        <v>31</v>
      </c>
      <c r="C1466" s="225" t="s">
        <v>12</v>
      </c>
      <c r="D1466" s="225" t="s">
        <v>13</v>
      </c>
      <c r="E1466" s="225" t="s">
        <v>52</v>
      </c>
      <c r="F1466" s="225"/>
      <c r="G1466" s="207" t="s">
        <v>53</v>
      </c>
      <c r="H1466" s="228"/>
    </row>
    <row r="1467" spans="1:8" ht="17.100000000000001" customHeight="1" x14ac:dyDescent="0.25">
      <c r="A1467" s="199"/>
      <c r="B1467" s="199"/>
      <c r="C1467" s="214"/>
      <c r="D1467" s="199"/>
      <c r="E1467" s="207"/>
      <c r="F1467" s="207"/>
      <c r="G1467" s="207"/>
      <c r="H1467" s="228"/>
    </row>
    <row r="1468" spans="1:8" ht="17.100000000000001" customHeight="1" x14ac:dyDescent="0.25">
      <c r="A1468" s="199"/>
      <c r="B1468" s="199"/>
      <c r="C1468" s="210"/>
      <c r="D1468" s="199"/>
      <c r="E1468" s="207"/>
      <c r="F1468" s="207"/>
      <c r="G1468" s="207"/>
      <c r="H1468" s="228"/>
    </row>
    <row r="1469" spans="1:8" ht="17.100000000000001" customHeight="1" x14ac:dyDescent="0.25">
      <c r="A1469" s="199"/>
      <c r="B1469" s="199"/>
      <c r="C1469" s="199"/>
      <c r="D1469" s="199"/>
      <c r="E1469" s="207"/>
      <c r="F1469" s="207"/>
      <c r="G1469" s="207"/>
      <c r="H1469" s="228"/>
    </row>
    <row r="1470" spans="1:8" ht="17.100000000000001" customHeight="1" x14ac:dyDescent="0.25">
      <c r="A1470" s="248"/>
      <c r="E1470" s="208" t="s">
        <v>50</v>
      </c>
      <c r="F1470" s="208"/>
      <c r="G1470" s="208"/>
      <c r="H1470" s="228">
        <f>ROUND(SUM(G1467)+(G1468),0)</f>
        <v>0</v>
      </c>
    </row>
    <row r="1471" spans="1:8" ht="17.100000000000001" customHeight="1" x14ac:dyDescent="0.25">
      <c r="A1471" s="247"/>
      <c r="E1471" s="208"/>
      <c r="F1471" s="208"/>
      <c r="G1471" s="208"/>
      <c r="H1471" s="228"/>
    </row>
    <row r="1472" spans="1:8" ht="17.100000000000001" customHeight="1" x14ac:dyDescent="0.25">
      <c r="A1472" s="247"/>
      <c r="D1472" s="215" t="s">
        <v>54</v>
      </c>
      <c r="E1472" s="216"/>
      <c r="F1472" s="216"/>
      <c r="G1472" s="216"/>
      <c r="H1472" s="453">
        <f>ROUND(SUM(H1450:H1471),2)</f>
        <v>1041437.5</v>
      </c>
    </row>
    <row r="1473" spans="1:8" ht="17.100000000000001" customHeight="1" x14ac:dyDescent="0.25">
      <c r="A1473" s="247"/>
      <c r="E1473" s="208"/>
      <c r="F1473" s="208"/>
      <c r="G1473" s="208"/>
      <c r="H1473" s="228"/>
    </row>
    <row r="1474" spans="1:8" ht="17.100000000000001" customHeight="1" x14ac:dyDescent="0.25">
      <c r="A1474" s="206" t="s">
        <v>55</v>
      </c>
      <c r="B1474" s="704" t="s">
        <v>56</v>
      </c>
      <c r="C1474" s="704"/>
      <c r="D1474" s="704"/>
      <c r="E1474" s="704"/>
      <c r="F1474" s="704"/>
      <c r="G1474" s="704"/>
      <c r="H1474" s="228"/>
    </row>
    <row r="1475" spans="1:8" ht="17.100000000000001" customHeight="1" x14ac:dyDescent="0.25">
      <c r="A1475" s="225"/>
      <c r="B1475" s="225" t="s">
        <v>31</v>
      </c>
      <c r="C1475" s="225" t="s">
        <v>57</v>
      </c>
      <c r="D1475" s="199" t="s">
        <v>58</v>
      </c>
      <c r="E1475" s="207"/>
      <c r="F1475" s="207" t="s">
        <v>59</v>
      </c>
      <c r="G1475" s="207"/>
      <c r="H1475" s="228"/>
    </row>
    <row r="1476" spans="1:8" ht="17.100000000000001" customHeight="1" x14ac:dyDescent="0.25">
      <c r="A1476" s="199"/>
      <c r="B1476" s="225" t="s">
        <v>60</v>
      </c>
      <c r="C1476" s="212">
        <v>0.28000000000000003</v>
      </c>
      <c r="D1476" s="199"/>
      <c r="E1476" s="210"/>
      <c r="F1476" s="199"/>
      <c r="G1476" s="218">
        <f>+H1472*C1476</f>
        <v>291602.5</v>
      </c>
      <c r="H1476" s="228"/>
    </row>
    <row r="1477" spans="1:8" ht="17.100000000000001" customHeight="1" x14ac:dyDescent="0.25">
      <c r="A1477" s="199"/>
      <c r="B1477" s="225" t="s">
        <v>61</v>
      </c>
      <c r="C1477" s="212">
        <v>0.01</v>
      </c>
      <c r="D1477" s="199"/>
      <c r="E1477" s="210"/>
      <c r="F1477" s="199"/>
      <c r="G1477" s="218">
        <f>+H1472*C1477</f>
        <v>10414.375</v>
      </c>
      <c r="H1477" s="228"/>
    </row>
    <row r="1478" spans="1:8" ht="17.100000000000001" customHeight="1" x14ac:dyDescent="0.25">
      <c r="A1478" s="199"/>
      <c r="B1478" s="225" t="s">
        <v>62</v>
      </c>
      <c r="C1478" s="212">
        <v>0.03</v>
      </c>
      <c r="D1478" s="199"/>
      <c r="E1478" s="210"/>
      <c r="F1478" s="199"/>
      <c r="G1478" s="218">
        <f>+H1472*C1478</f>
        <v>31243.125</v>
      </c>
      <c r="H1478" s="228"/>
    </row>
    <row r="1479" spans="1:8" ht="17.100000000000001" customHeight="1" x14ac:dyDescent="0.25">
      <c r="A1479" s="247"/>
      <c r="D1479" s="215" t="s">
        <v>63</v>
      </c>
      <c r="E1479" s="216"/>
      <c r="F1479" s="216"/>
      <c r="G1479" s="216"/>
      <c r="H1479" s="453">
        <f>SUM(G1475:G1478)</f>
        <v>333260</v>
      </c>
    </row>
    <row r="1480" spans="1:8" ht="17.100000000000001" customHeight="1" x14ac:dyDescent="0.25">
      <c r="A1480" s="247"/>
      <c r="E1480" s="208"/>
      <c r="F1480" s="208"/>
      <c r="G1480" s="208"/>
      <c r="H1480" s="228"/>
    </row>
    <row r="1481" spans="1:8" ht="17.100000000000001" customHeight="1" x14ac:dyDescent="0.25">
      <c r="A1481" s="247"/>
      <c r="D1481" s="215" t="s">
        <v>64</v>
      </c>
      <c r="E1481" s="216"/>
      <c r="F1481" s="216"/>
      <c r="G1481" s="208"/>
      <c r="H1481" s="453">
        <f>H1472+H1479</f>
        <v>1374697.5</v>
      </c>
    </row>
    <row r="1482" spans="1:8" ht="17.100000000000001" customHeight="1" x14ac:dyDescent="0.25">
      <c r="A1482" s="247"/>
      <c r="D1482" s="215"/>
      <c r="E1482" s="216"/>
      <c r="F1482" s="216"/>
      <c r="G1482" s="208"/>
      <c r="H1482" s="228"/>
    </row>
    <row r="1483" spans="1:8" ht="17.100000000000001" customHeight="1" x14ac:dyDescent="0.25">
      <c r="A1483" s="205"/>
      <c r="B1483" s="204"/>
      <c r="E1483" s="219"/>
      <c r="F1483" s="220"/>
      <c r="G1483" s="203"/>
      <c r="H1483" s="228"/>
    </row>
    <row r="1484" spans="1:8" ht="17.100000000000001" customHeight="1" x14ac:dyDescent="0.25">
      <c r="A1484" s="249" t="str">
        <f>+A1426</f>
        <v>ING JHON ALEXANDER ARIAS</v>
      </c>
      <c r="B1484" s="217"/>
      <c r="E1484" s="216" t="str">
        <f>E1368</f>
        <v>ARQ. GUILLERMO YAMID VALLEJOS BENAVIDES</v>
      </c>
      <c r="F1484" s="208"/>
      <c r="G1484" s="208"/>
      <c r="H1484" s="228"/>
    </row>
    <row r="1485" spans="1:8" ht="16.5" customHeight="1" x14ac:dyDescent="0.25">
      <c r="A1485" s="250" t="str">
        <f t="shared" ref="A1485:A1486" si="31">+A1427</f>
        <v>APOYO PROFESIONAL SPOPM</v>
      </c>
      <c r="B1485" s="217"/>
      <c r="E1485" s="208" t="str">
        <f>E1369</f>
        <v>SECRETARIO DE PLANEACION Y OBRAS PUBLICAS</v>
      </c>
      <c r="F1485" s="208"/>
      <c r="G1485" s="208"/>
      <c r="H1485" s="228"/>
    </row>
    <row r="1486" spans="1:8" ht="17.100000000000001" customHeight="1" x14ac:dyDescent="0.25">
      <c r="A1486" s="250" t="str">
        <f t="shared" si="31"/>
        <v>MP 111037-0703225 NRÑ</v>
      </c>
      <c r="B1486" s="580"/>
      <c r="C1486" s="579"/>
      <c r="D1486" s="579"/>
      <c r="E1486" s="581" t="str">
        <f>E1370</f>
        <v>SAN MIGUEL - PUTUMAYO</v>
      </c>
      <c r="F1486" s="581"/>
      <c r="G1486" s="581"/>
      <c r="H1486" s="581"/>
    </row>
    <row r="1488" spans="1:8" ht="17.100000000000001" customHeight="1" x14ac:dyDescent="0.3">
      <c r="A1488" s="705"/>
      <c r="B1488" s="706"/>
      <c r="C1488" s="638" t="s">
        <v>224</v>
      </c>
      <c r="D1488" s="625" t="s">
        <v>225</v>
      </c>
      <c r="E1488" s="626"/>
      <c r="F1488" s="275">
        <v>103</v>
      </c>
      <c r="G1488" s="711"/>
      <c r="H1488" s="711"/>
    </row>
    <row r="1489" spans="1:8" ht="17.100000000000001" customHeight="1" x14ac:dyDescent="0.25">
      <c r="A1489" s="707"/>
      <c r="B1489" s="708"/>
      <c r="C1489" s="639"/>
      <c r="D1489" s="634" t="s">
        <v>195</v>
      </c>
      <c r="E1489" s="635"/>
      <c r="F1489" s="712">
        <v>51</v>
      </c>
      <c r="G1489" s="711"/>
      <c r="H1489" s="711"/>
    </row>
    <row r="1490" spans="1:8" ht="17.100000000000001" customHeight="1" x14ac:dyDescent="0.25">
      <c r="A1490" s="707"/>
      <c r="B1490" s="708"/>
      <c r="C1490" s="307" t="s">
        <v>196</v>
      </c>
      <c r="D1490" s="636"/>
      <c r="E1490" s="637"/>
      <c r="F1490" s="713"/>
      <c r="G1490" s="711"/>
      <c r="H1490" s="711"/>
    </row>
    <row r="1491" spans="1:8" ht="17.100000000000001" customHeight="1" x14ac:dyDescent="0.25">
      <c r="A1491" s="707"/>
      <c r="B1491" s="708"/>
      <c r="C1491" s="308" t="s">
        <v>197</v>
      </c>
      <c r="D1491" s="640" t="s">
        <v>198</v>
      </c>
      <c r="E1491" s="641"/>
      <c r="F1491" s="309">
        <v>1</v>
      </c>
      <c r="G1491" s="711"/>
      <c r="H1491" s="711"/>
    </row>
    <row r="1492" spans="1:8" ht="17.100000000000001" customHeight="1" x14ac:dyDescent="0.25">
      <c r="A1492" s="707"/>
      <c r="B1492" s="708"/>
      <c r="C1492" s="714" t="s">
        <v>199</v>
      </c>
      <c r="D1492" s="716" t="s">
        <v>200</v>
      </c>
      <c r="E1492" s="717"/>
      <c r="F1492" s="307" t="s">
        <v>201</v>
      </c>
      <c r="G1492" s="711"/>
      <c r="H1492" s="711"/>
    </row>
    <row r="1493" spans="1:8" ht="17.100000000000001" customHeight="1" x14ac:dyDescent="0.25">
      <c r="A1493" s="709"/>
      <c r="B1493" s="710"/>
      <c r="C1493" s="715"/>
      <c r="D1493" s="718"/>
      <c r="E1493" s="719"/>
      <c r="F1493" s="310">
        <v>44216</v>
      </c>
      <c r="G1493" s="711"/>
      <c r="H1493" s="711"/>
    </row>
    <row r="1494" spans="1:8" ht="17.100000000000001" customHeight="1" thickBot="1" x14ac:dyDescent="0.3">
      <c r="A1494" s="720"/>
      <c r="B1494" s="721"/>
      <c r="C1494" s="721"/>
      <c r="D1494" s="721"/>
      <c r="E1494" s="721"/>
      <c r="F1494" s="721"/>
      <c r="G1494" s="721"/>
      <c r="H1494" s="722"/>
    </row>
    <row r="1495" spans="1:8" ht="17.100000000000001" customHeight="1" x14ac:dyDescent="0.25">
      <c r="A1495" s="723" t="str">
        <f>+A1438</f>
        <v>ADECUACION Y MEJORAMIENTO DE AULAS ESCOLARES UBICADA EN LA INSTITUCION EDUCATIVA TECNICO COMERCIAL LA DORADA SEDE ESCUELA CENTRAL DEL MUNICIPIO DE SAN MIGUEL PUTUMAYO</v>
      </c>
      <c r="B1495" s="724"/>
      <c r="C1495" s="724"/>
      <c r="D1495" s="724"/>
      <c r="E1495" s="724"/>
      <c r="F1495" s="724"/>
      <c r="G1495" s="724"/>
      <c r="H1495" s="725"/>
    </row>
    <row r="1496" spans="1:8" ht="17.100000000000001" customHeight="1" thickBot="1" x14ac:dyDescent="0.3">
      <c r="A1496" s="726"/>
      <c r="B1496" s="727"/>
      <c r="C1496" s="727"/>
      <c r="D1496" s="727"/>
      <c r="E1496" s="727"/>
      <c r="F1496" s="727"/>
      <c r="G1496" s="727"/>
      <c r="H1496" s="728"/>
    </row>
    <row r="1497" spans="1:8" ht="17.100000000000001" customHeight="1" thickBot="1" x14ac:dyDescent="0.3">
      <c r="A1497" s="273"/>
      <c r="B1497" s="274"/>
      <c r="C1497" s="274"/>
      <c r="D1497" s="274"/>
      <c r="E1497" s="274"/>
      <c r="F1497" s="274"/>
      <c r="G1497" s="274"/>
      <c r="H1497" s="447"/>
    </row>
    <row r="1498" spans="1:8" ht="17.100000000000001" customHeight="1" thickBot="1" x14ac:dyDescent="0.3">
      <c r="A1498" s="729" t="s">
        <v>26</v>
      </c>
      <c r="B1498" s="730"/>
      <c r="C1498" s="730"/>
      <c r="D1498" s="730"/>
      <c r="E1498" s="730"/>
      <c r="F1498" s="730"/>
      <c r="G1498" s="730"/>
      <c r="H1498" s="731"/>
    </row>
    <row r="1499" spans="1:8" ht="17.100000000000001" customHeight="1" thickBot="1" x14ac:dyDescent="0.3">
      <c r="A1499" s="247"/>
      <c r="H1499" s="244"/>
    </row>
    <row r="1500" spans="1:8" ht="17.100000000000001" customHeight="1" thickBot="1" x14ac:dyDescent="0.3">
      <c r="A1500" s="351">
        <f>+Presupuesto!A49</f>
        <v>5.6</v>
      </c>
      <c r="B1500" s="732" t="str">
        <f>Presupuesto!B49</f>
        <v>SUMINISTRO E INSTALACION DE PUERTA METALICA   MEDIDAS 1,20X2,3M</v>
      </c>
      <c r="C1500" s="733"/>
      <c r="D1500" s="733"/>
      <c r="E1500" s="733"/>
      <c r="F1500" s="734"/>
      <c r="G1500" s="352" t="s">
        <v>28</v>
      </c>
      <c r="H1500" s="452" t="str">
        <f>Presupuesto!D49</f>
        <v>UND</v>
      </c>
    </row>
    <row r="1501" spans="1:8" ht="17.100000000000001" customHeight="1" x14ac:dyDescent="0.25">
      <c r="A1501" s="247"/>
      <c r="H1501" s="244"/>
    </row>
    <row r="1502" spans="1:8" ht="17.100000000000001" customHeight="1" x14ac:dyDescent="0.25">
      <c r="A1502" s="206" t="s">
        <v>29</v>
      </c>
      <c r="B1502" s="704" t="s">
        <v>30</v>
      </c>
      <c r="C1502" s="704"/>
      <c r="D1502" s="704"/>
      <c r="E1502" s="704"/>
      <c r="F1502" s="704"/>
      <c r="G1502" s="704"/>
      <c r="H1502" s="244"/>
    </row>
    <row r="1503" spans="1:8" ht="17.100000000000001" customHeight="1" x14ac:dyDescent="0.25">
      <c r="A1503" s="225"/>
      <c r="B1503" s="735" t="s">
        <v>31</v>
      </c>
      <c r="C1503" s="736"/>
      <c r="D1503" s="225" t="s">
        <v>32</v>
      </c>
      <c r="E1503" s="225" t="s">
        <v>33</v>
      </c>
      <c r="F1503" s="225" t="s">
        <v>34</v>
      </c>
      <c r="G1503" s="225" t="s">
        <v>35</v>
      </c>
      <c r="H1503" s="244"/>
    </row>
    <row r="1504" spans="1:8" ht="17.100000000000001" customHeight="1" x14ac:dyDescent="0.25">
      <c r="A1504" s="199"/>
      <c r="B1504" s="737" t="s">
        <v>67</v>
      </c>
      <c r="C1504" s="738"/>
      <c r="D1504" s="199"/>
      <c r="E1504" s="207"/>
      <c r="F1504" s="207">
        <v>0.1</v>
      </c>
      <c r="G1504" s="218">
        <f>H1521*F1504</f>
        <v>8312.5</v>
      </c>
      <c r="H1504" s="245"/>
    </row>
    <row r="1505" spans="1:8" ht="17.100000000000001" customHeight="1" x14ac:dyDescent="0.25">
      <c r="A1505" s="199"/>
      <c r="B1505" s="735"/>
      <c r="C1505" s="736"/>
      <c r="D1505" s="199"/>
      <c r="E1505" s="207"/>
      <c r="F1505" s="207"/>
      <c r="G1505" s="207"/>
      <c r="H1505" s="245"/>
    </row>
    <row r="1506" spans="1:8" ht="17.100000000000001" customHeight="1" x14ac:dyDescent="0.25">
      <c r="A1506" s="199"/>
      <c r="B1506" s="735"/>
      <c r="C1506" s="736"/>
      <c r="D1506" s="199"/>
      <c r="E1506" s="207"/>
      <c r="F1506" s="207"/>
      <c r="G1506" s="207"/>
      <c r="H1506" s="228"/>
    </row>
    <row r="1507" spans="1:8" ht="17.100000000000001" customHeight="1" x14ac:dyDescent="0.25">
      <c r="A1507" s="248"/>
      <c r="E1507" s="208" t="s">
        <v>36</v>
      </c>
      <c r="F1507" s="208"/>
      <c r="G1507" s="208"/>
      <c r="H1507" s="370">
        <f>SUM(G1504:G1506)</f>
        <v>8312.5</v>
      </c>
    </row>
    <row r="1508" spans="1:8" ht="17.100000000000001" customHeight="1" x14ac:dyDescent="0.25">
      <c r="A1508" s="206" t="s">
        <v>37</v>
      </c>
      <c r="B1508" s="704" t="s">
        <v>38</v>
      </c>
      <c r="C1508" s="704"/>
      <c r="D1508" s="704"/>
      <c r="E1508" s="704"/>
      <c r="F1508" s="704"/>
      <c r="G1508" s="704"/>
      <c r="H1508" s="228"/>
    </row>
    <row r="1509" spans="1:8" ht="17.100000000000001" customHeight="1" x14ac:dyDescent="0.25">
      <c r="A1509" s="225"/>
      <c r="B1509" s="735" t="s">
        <v>31</v>
      </c>
      <c r="C1509" s="736"/>
      <c r="D1509" s="199" t="s">
        <v>12</v>
      </c>
      <c r="E1509" s="209" t="s">
        <v>39</v>
      </c>
      <c r="F1509" s="209" t="s">
        <v>40</v>
      </c>
      <c r="G1509" s="209" t="s">
        <v>35</v>
      </c>
      <c r="H1509" s="228"/>
    </row>
    <row r="1510" spans="1:8" ht="17.100000000000001" customHeight="1" x14ac:dyDescent="0.25">
      <c r="A1510" s="199"/>
      <c r="B1510" s="751" t="s">
        <v>333</v>
      </c>
      <c r="C1510" s="752"/>
      <c r="D1510" s="221" t="s">
        <v>12</v>
      </c>
      <c r="E1510" s="207">
        <v>1</v>
      </c>
      <c r="F1510" s="207">
        <v>950000</v>
      </c>
      <c r="G1510" s="207">
        <f>E1510*F1510</f>
        <v>950000</v>
      </c>
      <c r="H1510" s="228"/>
    </row>
    <row r="1511" spans="1:8" ht="17.100000000000001" customHeight="1" x14ac:dyDescent="0.25">
      <c r="A1511" s="199"/>
      <c r="B1511" s="746"/>
      <c r="C1511" s="747"/>
      <c r="D1511" s="221"/>
      <c r="E1511" s="207"/>
      <c r="F1511" s="207"/>
      <c r="G1511" s="207"/>
      <c r="H1511" s="228"/>
    </row>
    <row r="1512" spans="1:8" ht="17.100000000000001" customHeight="1" x14ac:dyDescent="0.25">
      <c r="A1512" s="199"/>
      <c r="B1512" s="746"/>
      <c r="C1512" s="747"/>
      <c r="D1512" s="221"/>
      <c r="E1512" s="221"/>
      <c r="F1512" s="207"/>
      <c r="G1512" s="207"/>
      <c r="H1512" s="228"/>
    </row>
    <row r="1513" spans="1:8" ht="17.100000000000001" customHeight="1" x14ac:dyDescent="0.25">
      <c r="A1513" s="199"/>
      <c r="B1513" s="746"/>
      <c r="C1513" s="747"/>
      <c r="D1513" s="199"/>
      <c r="E1513" s="207"/>
      <c r="F1513" s="207"/>
      <c r="G1513" s="207"/>
      <c r="H1513" s="228"/>
    </row>
    <row r="1514" spans="1:8" ht="17.100000000000001" customHeight="1" x14ac:dyDescent="0.25">
      <c r="A1514" s="199"/>
      <c r="B1514" s="746"/>
      <c r="C1514" s="747"/>
      <c r="D1514" s="199"/>
      <c r="E1514" s="207"/>
      <c r="F1514" s="207"/>
      <c r="G1514" s="207"/>
      <c r="H1514" s="228"/>
    </row>
    <row r="1515" spans="1:8" ht="17.100000000000001" customHeight="1" x14ac:dyDescent="0.25">
      <c r="A1515" s="248" t="s">
        <v>41</v>
      </c>
      <c r="E1515" s="208" t="s">
        <v>42</v>
      </c>
      <c r="F1515" s="208"/>
      <c r="G1515" s="208"/>
      <c r="H1515" s="454">
        <f>(SUM(G1510:G1512))</f>
        <v>950000</v>
      </c>
    </row>
    <row r="1516" spans="1:8" ht="17.100000000000001" customHeight="1" x14ac:dyDescent="0.25">
      <c r="A1516" s="206" t="s">
        <v>43</v>
      </c>
      <c r="B1516" s="704" t="s">
        <v>44</v>
      </c>
      <c r="C1516" s="704"/>
      <c r="D1516" s="704"/>
      <c r="E1516" s="704"/>
      <c r="F1516" s="704"/>
      <c r="G1516" s="704"/>
      <c r="H1516" s="228"/>
    </row>
    <row r="1517" spans="1:8" ht="17.100000000000001" customHeight="1" x14ac:dyDescent="0.25">
      <c r="A1517" s="199" t="s">
        <v>45</v>
      </c>
      <c r="B1517" s="225" t="s">
        <v>31</v>
      </c>
      <c r="C1517" s="225" t="s">
        <v>46</v>
      </c>
      <c r="D1517" s="225" t="s">
        <v>47</v>
      </c>
      <c r="E1517" s="209" t="s">
        <v>48</v>
      </c>
      <c r="F1517" s="207" t="s">
        <v>34</v>
      </c>
      <c r="G1517" s="207" t="s">
        <v>35</v>
      </c>
      <c r="H1517" s="228"/>
    </row>
    <row r="1518" spans="1:8" ht="17.100000000000001" customHeight="1" x14ac:dyDescent="0.25">
      <c r="A1518" s="199">
        <v>1</v>
      </c>
      <c r="B1518" s="199" t="s">
        <v>189</v>
      </c>
      <c r="C1518" s="211">
        <v>70000</v>
      </c>
      <c r="D1518" s="212">
        <v>0.75</v>
      </c>
      <c r="E1518" s="210">
        <f>+(A1518*C1518)+(A1518*C1518*D1518)</f>
        <v>122500</v>
      </c>
      <c r="F1518" s="423">
        <v>4</v>
      </c>
      <c r="G1518" s="218">
        <f>(E1518)/(F1518)</f>
        <v>30625</v>
      </c>
      <c r="H1518" s="228"/>
    </row>
    <row r="1519" spans="1:8" ht="17.100000000000001" customHeight="1" x14ac:dyDescent="0.25">
      <c r="A1519" s="199">
        <v>1</v>
      </c>
      <c r="B1519" s="199" t="s">
        <v>233</v>
      </c>
      <c r="C1519" s="211">
        <v>120000</v>
      </c>
      <c r="D1519" s="212">
        <v>0.75</v>
      </c>
      <c r="E1519" s="210">
        <f>+(A1519*C1519)+(A1519*C1519*D1519)</f>
        <v>210000</v>
      </c>
      <c r="F1519" s="423">
        <v>4</v>
      </c>
      <c r="G1519" s="218">
        <f>(E1519)/(F1519)</f>
        <v>52500</v>
      </c>
      <c r="H1519" s="228"/>
    </row>
    <row r="1520" spans="1:8" ht="17.100000000000001" customHeight="1" x14ac:dyDescent="0.25">
      <c r="A1520" s="199"/>
      <c r="B1520" s="199"/>
      <c r="C1520" s="199"/>
      <c r="D1520" s="199"/>
      <c r="E1520" s="207"/>
      <c r="F1520" s="207"/>
      <c r="G1520" s="207"/>
      <c r="H1520" s="228"/>
    </row>
    <row r="1521" spans="1:8" ht="17.100000000000001" customHeight="1" x14ac:dyDescent="0.25">
      <c r="A1521" s="248"/>
      <c r="E1521" s="208" t="s">
        <v>50</v>
      </c>
      <c r="F1521" s="208"/>
      <c r="G1521" s="208"/>
      <c r="H1521" s="453">
        <f>SUM(G1518)+(G1519)</f>
        <v>83125</v>
      </c>
    </row>
    <row r="1522" spans="1:8" ht="17.100000000000001" customHeight="1" x14ac:dyDescent="0.25">
      <c r="A1522" s="206" t="s">
        <v>51</v>
      </c>
      <c r="B1522" s="704" t="s">
        <v>18</v>
      </c>
      <c r="C1522" s="704"/>
      <c r="D1522" s="704"/>
      <c r="E1522" s="704"/>
      <c r="F1522" s="704"/>
      <c r="G1522" s="704"/>
      <c r="H1522" s="228"/>
    </row>
    <row r="1523" spans="1:8" ht="17.100000000000001" customHeight="1" x14ac:dyDescent="0.25">
      <c r="A1523" s="199"/>
      <c r="B1523" s="199" t="s">
        <v>31</v>
      </c>
      <c r="C1523" s="225" t="s">
        <v>12</v>
      </c>
      <c r="D1523" s="225" t="s">
        <v>13</v>
      </c>
      <c r="E1523" s="225" t="s">
        <v>52</v>
      </c>
      <c r="F1523" s="225"/>
      <c r="G1523" s="207" t="s">
        <v>53</v>
      </c>
      <c r="H1523" s="228"/>
    </row>
    <row r="1524" spans="1:8" ht="17.100000000000001" customHeight="1" x14ac:dyDescent="0.25">
      <c r="A1524" s="199"/>
      <c r="B1524" s="199"/>
      <c r="C1524" s="214"/>
      <c r="D1524" s="199"/>
      <c r="E1524" s="207"/>
      <c r="F1524" s="207"/>
      <c r="G1524" s="207"/>
      <c r="H1524" s="228"/>
    </row>
    <row r="1525" spans="1:8" ht="17.100000000000001" customHeight="1" x14ac:dyDescent="0.25">
      <c r="A1525" s="199"/>
      <c r="B1525" s="199"/>
      <c r="C1525" s="210"/>
      <c r="D1525" s="199"/>
      <c r="E1525" s="207"/>
      <c r="F1525" s="207"/>
      <c r="G1525" s="207"/>
      <c r="H1525" s="228"/>
    </row>
    <row r="1526" spans="1:8" ht="17.100000000000001" customHeight="1" x14ac:dyDescent="0.25">
      <c r="A1526" s="199"/>
      <c r="B1526" s="199"/>
      <c r="C1526" s="199"/>
      <c r="D1526" s="199"/>
      <c r="E1526" s="207"/>
      <c r="F1526" s="207"/>
      <c r="G1526" s="207"/>
      <c r="H1526" s="228"/>
    </row>
    <row r="1527" spans="1:8" ht="17.100000000000001" customHeight="1" x14ac:dyDescent="0.25">
      <c r="A1527" s="248"/>
      <c r="E1527" s="208" t="s">
        <v>50</v>
      </c>
      <c r="F1527" s="208"/>
      <c r="G1527" s="208"/>
      <c r="H1527" s="228">
        <f>ROUND(SUM(G1524)+(G1525),0)</f>
        <v>0</v>
      </c>
    </row>
    <row r="1528" spans="1:8" ht="17.100000000000001" customHeight="1" x14ac:dyDescent="0.25">
      <c r="A1528" s="247"/>
      <c r="E1528" s="208"/>
      <c r="F1528" s="208"/>
      <c r="G1528" s="208"/>
      <c r="H1528" s="228"/>
    </row>
    <row r="1529" spans="1:8" ht="17.100000000000001" customHeight="1" x14ac:dyDescent="0.25">
      <c r="A1529" s="247"/>
      <c r="D1529" s="215" t="s">
        <v>54</v>
      </c>
      <c r="E1529" s="216"/>
      <c r="F1529" s="216"/>
      <c r="G1529" s="216"/>
      <c r="H1529" s="453">
        <f>ROUND(SUM(H1507:H1528),2)</f>
        <v>1041437.5</v>
      </c>
    </row>
    <row r="1530" spans="1:8" ht="17.100000000000001" customHeight="1" x14ac:dyDescent="0.25">
      <c r="A1530" s="247"/>
      <c r="E1530" s="208"/>
      <c r="F1530" s="208"/>
      <c r="G1530" s="208"/>
      <c r="H1530" s="228"/>
    </row>
    <row r="1531" spans="1:8" ht="17.100000000000001" customHeight="1" x14ac:dyDescent="0.25">
      <c r="A1531" s="206" t="s">
        <v>55</v>
      </c>
      <c r="B1531" s="704" t="s">
        <v>56</v>
      </c>
      <c r="C1531" s="704"/>
      <c r="D1531" s="704"/>
      <c r="E1531" s="704"/>
      <c r="F1531" s="704"/>
      <c r="G1531" s="704"/>
      <c r="H1531" s="228"/>
    </row>
    <row r="1532" spans="1:8" ht="17.100000000000001" customHeight="1" x14ac:dyDescent="0.25">
      <c r="A1532" s="225"/>
      <c r="B1532" s="225" t="s">
        <v>31</v>
      </c>
      <c r="C1532" s="225" t="s">
        <v>57</v>
      </c>
      <c r="D1532" s="199" t="s">
        <v>58</v>
      </c>
      <c r="E1532" s="207"/>
      <c r="F1532" s="207" t="s">
        <v>59</v>
      </c>
      <c r="G1532" s="207"/>
      <c r="H1532" s="228"/>
    </row>
    <row r="1533" spans="1:8" ht="17.100000000000001" customHeight="1" x14ac:dyDescent="0.25">
      <c r="A1533" s="199"/>
      <c r="B1533" s="225" t="s">
        <v>60</v>
      </c>
      <c r="C1533" s="212">
        <v>0.28000000000000003</v>
      </c>
      <c r="D1533" s="199"/>
      <c r="E1533" s="210"/>
      <c r="F1533" s="199"/>
      <c r="G1533" s="218">
        <f>+H1529*C1533</f>
        <v>291602.5</v>
      </c>
      <c r="H1533" s="228"/>
    </row>
    <row r="1534" spans="1:8" ht="17.100000000000001" customHeight="1" x14ac:dyDescent="0.25">
      <c r="A1534" s="199"/>
      <c r="B1534" s="225" t="s">
        <v>61</v>
      </c>
      <c r="C1534" s="212">
        <v>0.01</v>
      </c>
      <c r="D1534" s="199"/>
      <c r="E1534" s="210"/>
      <c r="F1534" s="199"/>
      <c r="G1534" s="218">
        <f>+H1529*C1534</f>
        <v>10414.375</v>
      </c>
      <c r="H1534" s="228"/>
    </row>
    <row r="1535" spans="1:8" ht="17.100000000000001" customHeight="1" x14ac:dyDescent="0.25">
      <c r="A1535" s="199"/>
      <c r="B1535" s="225" t="s">
        <v>62</v>
      </c>
      <c r="C1535" s="212">
        <v>0.03</v>
      </c>
      <c r="D1535" s="199"/>
      <c r="E1535" s="210"/>
      <c r="F1535" s="199"/>
      <c r="G1535" s="218">
        <f>+H1529*C1535</f>
        <v>31243.125</v>
      </c>
      <c r="H1535" s="228"/>
    </row>
    <row r="1536" spans="1:8" ht="17.100000000000001" customHeight="1" x14ac:dyDescent="0.25">
      <c r="A1536" s="247"/>
      <c r="D1536" s="215" t="s">
        <v>63</v>
      </c>
      <c r="E1536" s="216"/>
      <c r="F1536" s="216"/>
      <c r="G1536" s="216"/>
      <c r="H1536" s="453">
        <f>SUM(G1532:G1535)</f>
        <v>333260</v>
      </c>
    </row>
    <row r="1537" spans="1:27" ht="17.100000000000001" customHeight="1" x14ac:dyDescent="0.25">
      <c r="A1537" s="247"/>
      <c r="E1537" s="208"/>
      <c r="F1537" s="208"/>
      <c r="G1537" s="208"/>
      <c r="H1537" s="228"/>
    </row>
    <row r="1538" spans="1:27" ht="17.100000000000001" customHeight="1" x14ac:dyDescent="0.25">
      <c r="A1538" s="247"/>
      <c r="D1538" s="215" t="s">
        <v>64</v>
      </c>
      <c r="E1538" s="216"/>
      <c r="F1538" s="216"/>
      <c r="G1538" s="208"/>
      <c r="H1538" s="453">
        <f>H1529+H1536</f>
        <v>1374697.5</v>
      </c>
    </row>
    <row r="1539" spans="1:27" ht="17.100000000000001" customHeight="1" x14ac:dyDescent="0.25">
      <c r="A1539" s="247"/>
      <c r="D1539" s="215"/>
      <c r="E1539" s="216"/>
      <c r="F1539" s="216"/>
      <c r="G1539" s="208"/>
      <c r="H1539" s="228"/>
    </row>
    <row r="1540" spans="1:27" ht="17.100000000000001" customHeight="1" x14ac:dyDescent="0.25">
      <c r="A1540" s="205"/>
      <c r="B1540" s="204"/>
      <c r="E1540" s="219"/>
      <c r="F1540" s="220"/>
      <c r="G1540" s="203"/>
      <c r="H1540" s="228"/>
    </row>
    <row r="1541" spans="1:27" ht="17.100000000000001" customHeight="1" x14ac:dyDescent="0.25">
      <c r="A1541" s="249" t="str">
        <f>+A1484</f>
        <v>ING JHON ALEXANDER ARIAS</v>
      </c>
      <c r="B1541" s="217"/>
      <c r="E1541" s="216" t="str">
        <f>+E1484</f>
        <v>ARQ. GUILLERMO YAMID VALLEJOS BENAVIDES</v>
      </c>
      <c r="F1541" s="208"/>
      <c r="G1541" s="208"/>
      <c r="H1541" s="228"/>
    </row>
    <row r="1542" spans="1:27" ht="17.100000000000001" customHeight="1" x14ac:dyDescent="0.25">
      <c r="A1542" s="250" t="str">
        <f t="shared" ref="A1542:A1543" si="32">+A1485</f>
        <v>APOYO PROFESIONAL SPOPM</v>
      </c>
      <c r="B1542" s="217"/>
      <c r="E1542" s="208" t="str">
        <f t="shared" ref="E1542:E1543" si="33">+E1485</f>
        <v>SECRETARIO DE PLANEACION Y OBRAS PUBLICAS</v>
      </c>
      <c r="F1542" s="208"/>
      <c r="G1542" s="208"/>
      <c r="H1542" s="228"/>
    </row>
    <row r="1543" spans="1:27" ht="17.100000000000001" customHeight="1" x14ac:dyDescent="0.25">
      <c r="A1543" s="250" t="str">
        <f t="shared" si="32"/>
        <v>MP 111037-0703225 NRÑ</v>
      </c>
      <c r="B1543" s="217"/>
      <c r="E1543" s="208" t="str">
        <f t="shared" si="33"/>
        <v>SAN MIGUEL - PUTUMAYO</v>
      </c>
      <c r="F1543" s="208"/>
      <c r="G1543" s="208"/>
      <c r="H1543" s="245"/>
    </row>
    <row r="1544" spans="1:27" ht="17.100000000000001" customHeight="1" x14ac:dyDescent="0.25">
      <c r="H1544" s="516"/>
    </row>
    <row r="1546" spans="1:27" ht="17.100000000000001" customHeight="1" x14ac:dyDescent="0.3">
      <c r="A1546" s="705"/>
      <c r="B1546" s="706"/>
      <c r="C1546" s="638" t="s">
        <v>224</v>
      </c>
      <c r="D1546" s="625" t="s">
        <v>225</v>
      </c>
      <c r="E1546" s="626"/>
      <c r="F1546" s="275">
        <v>103</v>
      </c>
      <c r="G1546" s="711"/>
      <c r="H1546" s="711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7.100000000000001" customHeight="1" x14ac:dyDescent="0.3">
      <c r="A1547" s="707"/>
      <c r="B1547" s="708"/>
      <c r="C1547" s="639"/>
      <c r="D1547" s="634" t="s">
        <v>195</v>
      </c>
      <c r="E1547" s="635"/>
      <c r="F1547" s="712">
        <v>51</v>
      </c>
      <c r="G1547" s="711"/>
      <c r="H1547" s="711"/>
      <c r="Q1547"/>
      <c r="R1547"/>
      <c r="S1547"/>
      <c r="T1547"/>
      <c r="U1547"/>
      <c r="V1547"/>
      <c r="W1547"/>
      <c r="X1547"/>
      <c r="Y1547"/>
      <c r="Z1547"/>
      <c r="AA1547"/>
    </row>
    <row r="1548" spans="1:27" ht="17.100000000000001" customHeight="1" x14ac:dyDescent="0.3">
      <c r="A1548" s="707"/>
      <c r="B1548" s="708"/>
      <c r="C1548" s="307" t="s">
        <v>196</v>
      </c>
      <c r="D1548" s="636"/>
      <c r="E1548" s="637"/>
      <c r="F1548" s="713"/>
      <c r="G1548" s="711"/>
      <c r="H1548" s="711"/>
      <c r="Q1548"/>
      <c r="R1548"/>
      <c r="S1548"/>
      <c r="T1548"/>
      <c r="U1548"/>
      <c r="V1548"/>
      <c r="W1548"/>
      <c r="X1548"/>
      <c r="Y1548"/>
      <c r="Z1548"/>
      <c r="AA1548"/>
    </row>
    <row r="1549" spans="1:27" ht="17.100000000000001" customHeight="1" x14ac:dyDescent="0.3">
      <c r="A1549" s="707"/>
      <c r="B1549" s="708"/>
      <c r="C1549" s="308" t="s">
        <v>197</v>
      </c>
      <c r="D1549" s="640" t="s">
        <v>198</v>
      </c>
      <c r="E1549" s="641"/>
      <c r="F1549" s="309">
        <v>1</v>
      </c>
      <c r="G1549" s="711"/>
      <c r="H1549" s="711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4.4" x14ac:dyDescent="0.3">
      <c r="A1550" s="707"/>
      <c r="B1550" s="708"/>
      <c r="C1550" s="714" t="s">
        <v>199</v>
      </c>
      <c r="D1550" s="716" t="s">
        <v>200</v>
      </c>
      <c r="E1550" s="717"/>
      <c r="F1550" s="307" t="s">
        <v>201</v>
      </c>
      <c r="G1550" s="711"/>
      <c r="H1550" s="711"/>
      <c r="Q1550"/>
      <c r="R1550"/>
      <c r="S1550"/>
      <c r="T1550"/>
      <c r="U1550"/>
      <c r="V1550"/>
      <c r="W1550"/>
      <c r="X1550"/>
      <c r="Y1550"/>
      <c r="Z1550"/>
      <c r="AA1550"/>
    </row>
    <row r="1551" spans="1:27" ht="17.100000000000001" customHeight="1" x14ac:dyDescent="0.3">
      <c r="A1551" s="709"/>
      <c r="B1551" s="710"/>
      <c r="C1551" s="715"/>
      <c r="D1551" s="718"/>
      <c r="E1551" s="719"/>
      <c r="F1551" s="310">
        <v>44216</v>
      </c>
      <c r="G1551" s="711"/>
      <c r="H1551" s="711"/>
      <c r="Q1551"/>
      <c r="R1551"/>
      <c r="S1551"/>
      <c r="T1551"/>
      <c r="U1551"/>
      <c r="V1551"/>
      <c r="W1551"/>
      <c r="X1551"/>
      <c r="Y1551"/>
      <c r="Z1551"/>
      <c r="AA1551"/>
    </row>
    <row r="1552" spans="1:27" ht="17.100000000000001" customHeight="1" thickBot="1" x14ac:dyDescent="0.35">
      <c r="A1552" s="720"/>
      <c r="B1552" s="721"/>
      <c r="C1552" s="721"/>
      <c r="D1552" s="721"/>
      <c r="E1552" s="721"/>
      <c r="F1552" s="721"/>
      <c r="G1552" s="721"/>
      <c r="H1552" s="72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24.75" customHeight="1" x14ac:dyDescent="0.3">
      <c r="A1553" s="723" t="str">
        <f>+A1495</f>
        <v>ADECUACION Y MEJORAMIENTO DE AULAS ESCOLARES UBICADA EN LA INSTITUCION EDUCATIVA TECNICO COMERCIAL LA DORADA SEDE ESCUELA CENTRAL DEL MUNICIPIO DE SAN MIGUEL PUTUMAYO</v>
      </c>
      <c r="B1553" s="724"/>
      <c r="C1553" s="724"/>
      <c r="D1553" s="724"/>
      <c r="E1553" s="724"/>
      <c r="F1553" s="724"/>
      <c r="G1553" s="724"/>
      <c r="H1553" s="725"/>
      <c r="Q1553"/>
      <c r="R1553"/>
      <c r="S1553"/>
      <c r="T1553"/>
      <c r="U1553"/>
      <c r="V1553"/>
      <c r="W1553"/>
      <c r="X1553"/>
      <c r="Y1553"/>
      <c r="Z1553"/>
      <c r="AA1553"/>
    </row>
    <row r="1554" spans="1:27" ht="18" customHeight="1" thickBot="1" x14ac:dyDescent="0.35">
      <c r="A1554" s="726"/>
      <c r="B1554" s="727"/>
      <c r="C1554" s="727"/>
      <c r="D1554" s="727"/>
      <c r="E1554" s="727"/>
      <c r="F1554" s="727"/>
      <c r="G1554" s="727"/>
      <c r="H1554" s="728"/>
      <c r="Q1554"/>
      <c r="R1554"/>
      <c r="S1554"/>
      <c r="T1554"/>
      <c r="U1554"/>
      <c r="V1554"/>
      <c r="W1554"/>
      <c r="X1554"/>
      <c r="Y1554"/>
      <c r="Z1554"/>
      <c r="AA1554"/>
    </row>
    <row r="1555" spans="1:27" ht="17.100000000000001" customHeight="1" thickBot="1" x14ac:dyDescent="0.35">
      <c r="A1555" s="273"/>
      <c r="B1555" s="274"/>
      <c r="C1555" s="274"/>
      <c r="D1555" s="274"/>
      <c r="E1555" s="274"/>
      <c r="F1555" s="274"/>
      <c r="G1555" s="274"/>
      <c r="H1555" s="447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7.100000000000001" customHeight="1" thickBot="1" x14ac:dyDescent="0.35">
      <c r="A1556" s="729" t="s">
        <v>26</v>
      </c>
      <c r="B1556" s="730"/>
      <c r="C1556" s="730"/>
      <c r="D1556" s="730"/>
      <c r="E1556" s="730"/>
      <c r="F1556" s="730"/>
      <c r="G1556" s="730"/>
      <c r="H1556" s="731"/>
      <c r="Q1556"/>
      <c r="R1556"/>
      <c r="S1556"/>
      <c r="T1556"/>
      <c r="U1556"/>
      <c r="V1556"/>
      <c r="W1556"/>
      <c r="X1556"/>
      <c r="Y1556"/>
      <c r="Z1556"/>
      <c r="AA1556"/>
    </row>
    <row r="1557" spans="1:27" ht="17.100000000000001" customHeight="1" thickBot="1" x14ac:dyDescent="0.35">
      <c r="A1557" s="247"/>
      <c r="H1557" s="244"/>
      <c r="Q1557"/>
      <c r="R1557"/>
      <c r="S1557"/>
      <c r="T1557"/>
      <c r="U1557"/>
      <c r="V1557"/>
      <c r="W1557"/>
      <c r="X1557"/>
      <c r="Y1557"/>
      <c r="Z1557"/>
      <c r="AA1557"/>
    </row>
    <row r="1558" spans="1:27" ht="33" customHeight="1" thickBot="1" x14ac:dyDescent="0.35">
      <c r="A1558" s="351">
        <f>+Presupuesto!A52</f>
        <v>6.1</v>
      </c>
      <c r="B1558" s="743" t="str">
        <f>+Presupuesto!B52</f>
        <v>SUMINISTRO E INSTALACION DE SALIDA PARA INTERRUPTOR, INCLUYE CAJA DE IA RECTANGULAR, INTERRUPTOR Y DEMAS ACCESORIOS</v>
      </c>
      <c r="C1558" s="744"/>
      <c r="D1558" s="744"/>
      <c r="E1558" s="744"/>
      <c r="F1558" s="745"/>
      <c r="G1558" s="352" t="s">
        <v>28</v>
      </c>
      <c r="H1558" s="452" t="str">
        <f>+Presupuesto!D52</f>
        <v>UND</v>
      </c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7.100000000000001" customHeight="1" x14ac:dyDescent="0.3">
      <c r="A1559" s="247"/>
      <c r="H1559" s="244"/>
      <c r="Q1559"/>
      <c r="R1559"/>
      <c r="S1559"/>
      <c r="T1559"/>
      <c r="U1559"/>
      <c r="V1559"/>
      <c r="W1559"/>
      <c r="X1559"/>
      <c r="Y1559"/>
      <c r="Z1559"/>
      <c r="AA1559"/>
    </row>
    <row r="1560" spans="1:27" ht="17.100000000000001" customHeight="1" x14ac:dyDescent="0.3">
      <c r="A1560" s="206" t="s">
        <v>29</v>
      </c>
      <c r="B1560" s="704" t="s">
        <v>30</v>
      </c>
      <c r="C1560" s="704"/>
      <c r="D1560" s="704"/>
      <c r="E1560" s="704"/>
      <c r="F1560" s="704"/>
      <c r="G1560" s="704"/>
      <c r="H1560" s="244"/>
      <c r="Q1560"/>
      <c r="R1560"/>
      <c r="S1560"/>
      <c r="T1560"/>
      <c r="U1560"/>
      <c r="V1560"/>
      <c r="W1560"/>
      <c r="X1560"/>
      <c r="Y1560"/>
      <c r="Z1560"/>
      <c r="AA1560"/>
    </row>
    <row r="1561" spans="1:27" ht="17.100000000000001" customHeight="1" x14ac:dyDescent="0.3">
      <c r="A1561" s="225"/>
      <c r="B1561" s="735" t="s">
        <v>31</v>
      </c>
      <c r="C1561" s="736"/>
      <c r="D1561" s="225" t="s">
        <v>32</v>
      </c>
      <c r="E1561" s="225" t="s">
        <v>33</v>
      </c>
      <c r="F1561" s="225" t="s">
        <v>34</v>
      </c>
      <c r="G1561" s="225" t="s">
        <v>35</v>
      </c>
      <c r="H1561" s="244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7.100000000000001" customHeight="1" x14ac:dyDescent="0.3">
      <c r="A1562" s="199"/>
      <c r="B1562" s="737" t="s">
        <v>67</v>
      </c>
      <c r="C1562" s="738"/>
      <c r="D1562" s="199"/>
      <c r="E1562" s="207"/>
      <c r="F1562" s="207">
        <v>0.1</v>
      </c>
      <c r="G1562" s="218">
        <f>H1579*F1562</f>
        <v>2216.666666666667</v>
      </c>
      <c r="H1562" s="245"/>
      <c r="Q1562"/>
      <c r="R1562"/>
      <c r="S1562"/>
      <c r="T1562"/>
      <c r="U1562"/>
      <c r="V1562"/>
      <c r="W1562"/>
      <c r="X1562"/>
      <c r="Y1562"/>
      <c r="Z1562"/>
      <c r="AA1562"/>
    </row>
    <row r="1563" spans="1:27" ht="17.100000000000001" customHeight="1" x14ac:dyDescent="0.25">
      <c r="A1563" s="199"/>
      <c r="B1563" s="735"/>
      <c r="C1563" s="736"/>
      <c r="D1563" s="199"/>
      <c r="E1563" s="207"/>
      <c r="F1563" s="207"/>
      <c r="G1563" s="207"/>
      <c r="H1563" s="245"/>
    </row>
    <row r="1564" spans="1:27" ht="17.100000000000001" customHeight="1" x14ac:dyDescent="0.25">
      <c r="A1564" s="199"/>
      <c r="B1564" s="735"/>
      <c r="C1564" s="736"/>
      <c r="D1564" s="199"/>
      <c r="E1564" s="207"/>
      <c r="F1564" s="207"/>
      <c r="G1564" s="207"/>
      <c r="H1564" s="228"/>
    </row>
    <row r="1565" spans="1:27" ht="17.100000000000001" customHeight="1" x14ac:dyDescent="0.25">
      <c r="A1565" s="248"/>
      <c r="E1565" s="208" t="s">
        <v>36</v>
      </c>
      <c r="F1565" s="208"/>
      <c r="G1565" s="208"/>
      <c r="H1565" s="370">
        <f>SUM(G1562:G1564)</f>
        <v>2216.666666666667</v>
      </c>
    </row>
    <row r="1566" spans="1:27" ht="17.100000000000001" customHeight="1" x14ac:dyDescent="0.25">
      <c r="A1566" s="206" t="s">
        <v>37</v>
      </c>
      <c r="B1566" s="704" t="s">
        <v>38</v>
      </c>
      <c r="C1566" s="704"/>
      <c r="D1566" s="704"/>
      <c r="E1566" s="704"/>
      <c r="F1566" s="704"/>
      <c r="G1566" s="704"/>
      <c r="H1566" s="228"/>
    </row>
    <row r="1567" spans="1:27" ht="17.100000000000001" customHeight="1" x14ac:dyDescent="0.25">
      <c r="A1567" s="225"/>
      <c r="B1567" s="735" t="s">
        <v>31</v>
      </c>
      <c r="C1567" s="736"/>
      <c r="D1567" s="199" t="s">
        <v>12</v>
      </c>
      <c r="E1567" s="209" t="s">
        <v>39</v>
      </c>
      <c r="F1567" s="209" t="s">
        <v>40</v>
      </c>
      <c r="G1567" s="209" t="s">
        <v>35</v>
      </c>
      <c r="H1567" s="228"/>
    </row>
    <row r="1568" spans="1:27" ht="17.100000000000001" customHeight="1" x14ac:dyDescent="0.25">
      <c r="A1568" s="199"/>
      <c r="B1568" s="739" t="s">
        <v>329</v>
      </c>
      <c r="C1568" s="740"/>
      <c r="D1568" s="221" t="s">
        <v>76</v>
      </c>
      <c r="E1568" s="207">
        <v>1</v>
      </c>
      <c r="F1568" s="207">
        <v>11000</v>
      </c>
      <c r="G1568" s="207">
        <f>E1568*F1568</f>
        <v>11000</v>
      </c>
      <c r="H1568" s="228"/>
    </row>
    <row r="1569" spans="1:8" ht="17.100000000000001" customHeight="1" x14ac:dyDescent="0.25">
      <c r="A1569" s="199"/>
      <c r="B1569" s="739"/>
      <c r="C1569" s="740"/>
      <c r="D1569" s="221"/>
      <c r="E1569" s="207"/>
      <c r="F1569" s="207"/>
      <c r="G1569" s="207"/>
      <c r="H1569" s="228"/>
    </row>
    <row r="1570" spans="1:8" ht="17.100000000000001" customHeight="1" x14ac:dyDescent="0.25">
      <c r="A1570" s="199"/>
      <c r="B1570" s="739"/>
      <c r="C1570" s="740"/>
      <c r="D1570" s="221"/>
      <c r="E1570" s="207"/>
      <c r="F1570" s="207"/>
      <c r="G1570" s="207"/>
      <c r="H1570" s="228"/>
    </row>
    <row r="1571" spans="1:8" ht="17.100000000000001" customHeight="1" x14ac:dyDescent="0.25">
      <c r="A1571" s="199"/>
      <c r="B1571" s="739"/>
      <c r="C1571" s="740"/>
      <c r="D1571" s="199"/>
      <c r="E1571" s="207"/>
      <c r="F1571" s="207"/>
      <c r="G1571" s="207"/>
      <c r="H1571" s="228"/>
    </row>
    <row r="1572" spans="1:8" ht="17.100000000000001" customHeight="1" x14ac:dyDescent="0.25">
      <c r="A1572" s="199"/>
      <c r="B1572" s="739"/>
      <c r="C1572" s="740"/>
      <c r="D1572" s="199"/>
      <c r="E1572" s="207"/>
      <c r="F1572" s="207"/>
      <c r="G1572" s="207">
        <f>E1572*F1572</f>
        <v>0</v>
      </c>
      <c r="H1572" s="228"/>
    </row>
    <row r="1573" spans="1:8" ht="17.100000000000001" customHeight="1" x14ac:dyDescent="0.25">
      <c r="A1573" s="248" t="s">
        <v>41</v>
      </c>
      <c r="E1573" s="208" t="s">
        <v>42</v>
      </c>
      <c r="F1573" s="208"/>
      <c r="G1573" s="208"/>
      <c r="H1573" s="370">
        <f>(SUM(G1568:G1572))</f>
        <v>11000</v>
      </c>
    </row>
    <row r="1574" spans="1:8" ht="17.100000000000001" customHeight="1" x14ac:dyDescent="0.25">
      <c r="A1574" s="206" t="s">
        <v>43</v>
      </c>
      <c r="B1574" s="704" t="s">
        <v>44</v>
      </c>
      <c r="C1574" s="704"/>
      <c r="D1574" s="704"/>
      <c r="E1574" s="704"/>
      <c r="F1574" s="704"/>
      <c r="G1574" s="704"/>
      <c r="H1574" s="228"/>
    </row>
    <row r="1575" spans="1:8" ht="17.100000000000001" customHeight="1" x14ac:dyDescent="0.25">
      <c r="A1575" s="199" t="s">
        <v>45</v>
      </c>
      <c r="B1575" s="225" t="s">
        <v>31</v>
      </c>
      <c r="C1575" s="225" t="s">
        <v>46</v>
      </c>
      <c r="D1575" s="225" t="s">
        <v>47</v>
      </c>
      <c r="E1575" s="209" t="s">
        <v>48</v>
      </c>
      <c r="F1575" s="207" t="s">
        <v>34</v>
      </c>
      <c r="G1575" s="207" t="s">
        <v>35</v>
      </c>
      <c r="H1575" s="228"/>
    </row>
    <row r="1576" spans="1:8" ht="17.100000000000001" customHeight="1" x14ac:dyDescent="0.25">
      <c r="A1576" s="199">
        <v>1</v>
      </c>
      <c r="B1576" s="199" t="s">
        <v>189</v>
      </c>
      <c r="C1576" s="211">
        <v>70000</v>
      </c>
      <c r="D1576" s="212">
        <v>0.75</v>
      </c>
      <c r="E1576" s="210">
        <f>+(A1576*C1576)+(A1576*C1576*D1576)</f>
        <v>122500</v>
      </c>
      <c r="F1576" s="213">
        <v>15</v>
      </c>
      <c r="G1576" s="218">
        <f>(E1576)/(F1576)</f>
        <v>8166.666666666667</v>
      </c>
      <c r="H1576" s="228"/>
    </row>
    <row r="1577" spans="1:8" ht="17.100000000000001" customHeight="1" x14ac:dyDescent="0.25">
      <c r="A1577" s="199">
        <v>1</v>
      </c>
      <c r="B1577" s="199" t="s">
        <v>327</v>
      </c>
      <c r="C1577" s="211">
        <v>120000</v>
      </c>
      <c r="D1577" s="212">
        <v>0.75</v>
      </c>
      <c r="E1577" s="210">
        <f>+(A1577*C1577)+(A1577*C1577*D1577)</f>
        <v>210000</v>
      </c>
      <c r="F1577" s="213">
        <v>15</v>
      </c>
      <c r="G1577" s="218">
        <f>(E1577)/(F1577)</f>
        <v>14000</v>
      </c>
      <c r="H1577" s="228"/>
    </row>
    <row r="1578" spans="1:8" ht="17.100000000000001" customHeight="1" x14ac:dyDescent="0.25">
      <c r="A1578" s="199"/>
      <c r="B1578" s="199"/>
      <c r="C1578" s="199"/>
      <c r="D1578" s="199"/>
      <c r="E1578" s="207"/>
      <c r="F1578" s="207"/>
      <c r="G1578" s="207"/>
      <c r="H1578" s="228"/>
    </row>
    <row r="1579" spans="1:8" ht="17.100000000000001" customHeight="1" x14ac:dyDescent="0.25">
      <c r="A1579" s="248"/>
      <c r="E1579" s="208" t="s">
        <v>50</v>
      </c>
      <c r="F1579" s="208"/>
      <c r="G1579" s="208"/>
      <c r="H1579" s="453">
        <f>SUM(G1576)+(G1577)</f>
        <v>22166.666666666668</v>
      </c>
    </row>
    <row r="1580" spans="1:8" ht="17.100000000000001" customHeight="1" x14ac:dyDescent="0.25">
      <c r="A1580" s="206" t="s">
        <v>51</v>
      </c>
      <c r="B1580" s="704" t="s">
        <v>18</v>
      </c>
      <c r="C1580" s="704"/>
      <c r="D1580" s="704"/>
      <c r="E1580" s="704"/>
      <c r="F1580" s="704"/>
      <c r="G1580" s="704"/>
      <c r="H1580" s="228"/>
    </row>
    <row r="1581" spans="1:8" ht="17.100000000000001" customHeight="1" x14ac:dyDescent="0.25">
      <c r="A1581" s="199"/>
      <c r="B1581" s="199" t="s">
        <v>31</v>
      </c>
      <c r="C1581" s="225" t="s">
        <v>12</v>
      </c>
      <c r="D1581" s="225" t="s">
        <v>13</v>
      </c>
      <c r="E1581" s="225" t="s">
        <v>52</v>
      </c>
      <c r="F1581" s="225"/>
      <c r="G1581" s="207" t="s">
        <v>53</v>
      </c>
      <c r="H1581" s="228"/>
    </row>
    <row r="1582" spans="1:8" ht="17.100000000000001" customHeight="1" x14ac:dyDescent="0.25">
      <c r="A1582" s="199"/>
      <c r="B1582" s="199"/>
      <c r="C1582" s="214"/>
      <c r="D1582" s="199"/>
      <c r="E1582" s="207"/>
      <c r="F1582" s="207"/>
      <c r="G1582" s="207"/>
      <c r="H1582" s="228"/>
    </row>
    <row r="1583" spans="1:8" ht="17.100000000000001" customHeight="1" x14ac:dyDescent="0.25">
      <c r="A1583" s="199"/>
      <c r="B1583" s="199"/>
      <c r="C1583" s="210"/>
      <c r="D1583" s="199"/>
      <c r="E1583" s="207"/>
      <c r="F1583" s="207"/>
      <c r="G1583" s="207"/>
      <c r="H1583" s="228"/>
    </row>
    <row r="1584" spans="1:8" ht="17.100000000000001" customHeight="1" x14ac:dyDescent="0.25">
      <c r="A1584" s="199"/>
      <c r="B1584" s="199"/>
      <c r="C1584" s="199"/>
      <c r="D1584" s="199"/>
      <c r="E1584" s="207"/>
      <c r="F1584" s="207"/>
      <c r="G1584" s="207"/>
      <c r="H1584" s="228"/>
    </row>
    <row r="1585" spans="1:8" ht="17.100000000000001" customHeight="1" x14ac:dyDescent="0.25">
      <c r="A1585" s="248"/>
      <c r="E1585" s="208" t="s">
        <v>50</v>
      </c>
      <c r="F1585" s="208"/>
      <c r="G1585" s="208"/>
      <c r="H1585" s="228">
        <f>ROUND(SUM(G1582)+(G1583),0)</f>
        <v>0</v>
      </c>
    </row>
    <row r="1586" spans="1:8" ht="17.100000000000001" customHeight="1" x14ac:dyDescent="0.25">
      <c r="A1586" s="247"/>
      <c r="E1586" s="208"/>
      <c r="F1586" s="208"/>
      <c r="G1586" s="208"/>
      <c r="H1586" s="228"/>
    </row>
    <row r="1587" spans="1:8" ht="17.100000000000001" customHeight="1" x14ac:dyDescent="0.25">
      <c r="A1587" s="247"/>
      <c r="D1587" s="215" t="s">
        <v>54</v>
      </c>
      <c r="E1587" s="216"/>
      <c r="F1587" s="216"/>
      <c r="G1587" s="216"/>
      <c r="H1587" s="453">
        <f>ROUND(SUM(H1565:H1586),2)</f>
        <v>35383.33</v>
      </c>
    </row>
    <row r="1588" spans="1:8" ht="17.100000000000001" customHeight="1" x14ac:dyDescent="0.25">
      <c r="A1588" s="247"/>
      <c r="E1588" s="208"/>
      <c r="F1588" s="208"/>
      <c r="G1588" s="208"/>
      <c r="H1588" s="228"/>
    </row>
    <row r="1589" spans="1:8" ht="17.100000000000001" customHeight="1" x14ac:dyDescent="0.25">
      <c r="A1589" s="206" t="s">
        <v>55</v>
      </c>
      <c r="B1589" s="704" t="s">
        <v>56</v>
      </c>
      <c r="C1589" s="704"/>
      <c r="D1589" s="704"/>
      <c r="E1589" s="704"/>
      <c r="F1589" s="704"/>
      <c r="G1589" s="704"/>
      <c r="H1589" s="228"/>
    </row>
    <row r="1590" spans="1:8" ht="17.100000000000001" customHeight="1" x14ac:dyDescent="0.25">
      <c r="A1590" s="225"/>
      <c r="B1590" s="225" t="s">
        <v>31</v>
      </c>
      <c r="C1590" s="225" t="s">
        <v>57</v>
      </c>
      <c r="D1590" s="199" t="s">
        <v>58</v>
      </c>
      <c r="E1590" s="207"/>
      <c r="F1590" s="207" t="s">
        <v>59</v>
      </c>
      <c r="G1590" s="207"/>
      <c r="H1590" s="228"/>
    </row>
    <row r="1591" spans="1:8" ht="17.100000000000001" customHeight="1" x14ac:dyDescent="0.25">
      <c r="A1591" s="199"/>
      <c r="B1591" s="225" t="s">
        <v>60</v>
      </c>
      <c r="C1591" s="212">
        <v>0.28000000000000003</v>
      </c>
      <c r="D1591" s="199"/>
      <c r="E1591" s="210"/>
      <c r="F1591" s="199"/>
      <c r="G1591" s="218">
        <f>+H1587*C1591</f>
        <v>9907.3324000000011</v>
      </c>
      <c r="H1591" s="228"/>
    </row>
    <row r="1592" spans="1:8" ht="17.100000000000001" customHeight="1" x14ac:dyDescent="0.25">
      <c r="A1592" s="199"/>
      <c r="B1592" s="225" t="s">
        <v>61</v>
      </c>
      <c r="C1592" s="212">
        <v>0.01</v>
      </c>
      <c r="D1592" s="199"/>
      <c r="E1592" s="210"/>
      <c r="F1592" s="199"/>
      <c r="G1592" s="218">
        <f>+H1587*C1592</f>
        <v>353.83330000000001</v>
      </c>
      <c r="H1592" s="228"/>
    </row>
    <row r="1593" spans="1:8" ht="17.100000000000001" customHeight="1" x14ac:dyDescent="0.25">
      <c r="A1593" s="199"/>
      <c r="B1593" s="225" t="s">
        <v>62</v>
      </c>
      <c r="C1593" s="212">
        <v>0.03</v>
      </c>
      <c r="D1593" s="199"/>
      <c r="E1593" s="210"/>
      <c r="F1593" s="199"/>
      <c r="G1593" s="218">
        <f>+H1587*C1593</f>
        <v>1061.4999</v>
      </c>
      <c r="H1593" s="228"/>
    </row>
    <row r="1594" spans="1:8" ht="17.100000000000001" customHeight="1" x14ac:dyDescent="0.25">
      <c r="A1594" s="247"/>
      <c r="D1594" s="215" t="s">
        <v>63</v>
      </c>
      <c r="E1594" s="216"/>
      <c r="F1594" s="216"/>
      <c r="G1594" s="216"/>
      <c r="H1594" s="453">
        <f>SUM(G1590:G1593)</f>
        <v>11322.665600000002</v>
      </c>
    </row>
    <row r="1595" spans="1:8" ht="17.100000000000001" customHeight="1" x14ac:dyDescent="0.25">
      <c r="A1595" s="247"/>
      <c r="E1595" s="208"/>
      <c r="F1595" s="208"/>
      <c r="G1595" s="208"/>
      <c r="H1595" s="228"/>
    </row>
    <row r="1596" spans="1:8" ht="17.100000000000001" customHeight="1" x14ac:dyDescent="0.25">
      <c r="A1596" s="247"/>
      <c r="D1596" s="215" t="s">
        <v>64</v>
      </c>
      <c r="E1596" s="216"/>
      <c r="F1596" s="216"/>
      <c r="G1596" s="208"/>
      <c r="H1596" s="453">
        <f>H1587+H1594</f>
        <v>46705.995600000002</v>
      </c>
    </row>
    <row r="1597" spans="1:8" ht="17.100000000000001" customHeight="1" x14ac:dyDescent="0.25">
      <c r="A1597" s="247"/>
      <c r="D1597" s="215"/>
      <c r="E1597" s="216"/>
      <c r="F1597" s="216"/>
      <c r="G1597" s="208"/>
      <c r="H1597" s="228"/>
    </row>
    <row r="1598" spans="1:8" ht="17.100000000000001" customHeight="1" x14ac:dyDescent="0.25">
      <c r="A1598" s="205"/>
      <c r="B1598" s="204"/>
      <c r="E1598" s="219"/>
      <c r="F1598" s="220"/>
      <c r="G1598" s="203"/>
      <c r="H1598" s="228"/>
    </row>
    <row r="1599" spans="1:8" ht="17.100000000000001" customHeight="1" x14ac:dyDescent="0.25">
      <c r="A1599" s="249" t="str">
        <f>+A1541</f>
        <v>ING JHON ALEXANDER ARIAS</v>
      </c>
      <c r="B1599" s="217"/>
      <c r="E1599" s="216" t="str">
        <f>+E1541</f>
        <v>ARQ. GUILLERMO YAMID VALLEJOS BENAVIDES</v>
      </c>
      <c r="F1599" s="208"/>
      <c r="G1599" s="208"/>
      <c r="H1599" s="228"/>
    </row>
    <row r="1600" spans="1:8" ht="16.5" customHeight="1" x14ac:dyDescent="0.25">
      <c r="A1600" s="250" t="str">
        <f t="shared" ref="A1600:A1601" si="34">+A1542</f>
        <v>APOYO PROFESIONAL SPOPM</v>
      </c>
      <c r="B1600" s="217"/>
      <c r="E1600" s="208" t="str">
        <f t="shared" ref="E1600:E1601" si="35">+E1542</f>
        <v>SECRETARIO DE PLANEACION Y OBRAS PUBLICAS</v>
      </c>
      <c r="F1600" s="208"/>
      <c r="G1600" s="208"/>
      <c r="H1600" s="228"/>
    </row>
    <row r="1601" spans="1:8" ht="17.100000000000001" customHeight="1" x14ac:dyDescent="0.25">
      <c r="A1601" s="250" t="str">
        <f t="shared" si="34"/>
        <v>MP 111037-0703225 NRÑ</v>
      </c>
      <c r="B1601" s="580"/>
      <c r="C1601" s="579"/>
      <c r="D1601" s="579"/>
      <c r="E1601" s="581" t="str">
        <f t="shared" si="35"/>
        <v>SAN MIGUEL - PUTUMAYO</v>
      </c>
      <c r="F1601" s="581"/>
      <c r="G1601" s="581"/>
      <c r="H1601" s="581"/>
    </row>
    <row r="1604" spans="1:8" ht="17.100000000000001" customHeight="1" x14ac:dyDescent="0.3">
      <c r="A1604" s="705"/>
      <c r="B1604" s="706"/>
      <c r="C1604" s="638" t="s">
        <v>224</v>
      </c>
      <c r="D1604" s="625" t="s">
        <v>225</v>
      </c>
      <c r="E1604" s="626"/>
      <c r="F1604" s="275">
        <v>103</v>
      </c>
      <c r="G1604" s="711"/>
      <c r="H1604" s="711"/>
    </row>
    <row r="1605" spans="1:8" ht="17.100000000000001" customHeight="1" x14ac:dyDescent="0.25">
      <c r="A1605" s="707"/>
      <c r="B1605" s="708"/>
      <c r="C1605" s="639"/>
      <c r="D1605" s="634" t="s">
        <v>195</v>
      </c>
      <c r="E1605" s="635"/>
      <c r="F1605" s="712">
        <v>51</v>
      </c>
      <c r="G1605" s="711"/>
      <c r="H1605" s="711"/>
    </row>
    <row r="1606" spans="1:8" ht="17.100000000000001" customHeight="1" x14ac:dyDescent="0.25">
      <c r="A1606" s="707"/>
      <c r="B1606" s="708"/>
      <c r="C1606" s="307" t="s">
        <v>196</v>
      </c>
      <c r="D1606" s="636"/>
      <c r="E1606" s="637"/>
      <c r="F1606" s="713"/>
      <c r="G1606" s="711"/>
      <c r="H1606" s="711"/>
    </row>
    <row r="1607" spans="1:8" ht="17.100000000000001" customHeight="1" x14ac:dyDescent="0.25">
      <c r="A1607" s="707"/>
      <c r="B1607" s="708"/>
      <c r="C1607" s="308" t="s">
        <v>197</v>
      </c>
      <c r="D1607" s="640" t="s">
        <v>198</v>
      </c>
      <c r="E1607" s="641"/>
      <c r="F1607" s="309">
        <v>1</v>
      </c>
      <c r="G1607" s="711"/>
      <c r="H1607" s="711"/>
    </row>
    <row r="1608" spans="1:8" ht="17.100000000000001" customHeight="1" x14ac:dyDescent="0.25">
      <c r="A1608" s="707"/>
      <c r="B1608" s="708"/>
      <c r="C1608" s="714" t="s">
        <v>199</v>
      </c>
      <c r="D1608" s="716" t="s">
        <v>200</v>
      </c>
      <c r="E1608" s="717"/>
      <c r="F1608" s="307" t="s">
        <v>201</v>
      </c>
      <c r="G1608" s="711"/>
      <c r="H1608" s="711"/>
    </row>
    <row r="1609" spans="1:8" ht="17.100000000000001" customHeight="1" x14ac:dyDescent="0.25">
      <c r="A1609" s="709"/>
      <c r="B1609" s="710"/>
      <c r="C1609" s="715"/>
      <c r="D1609" s="718"/>
      <c r="E1609" s="719"/>
      <c r="F1609" s="310">
        <v>44216</v>
      </c>
      <c r="G1609" s="711"/>
      <c r="H1609" s="711"/>
    </row>
    <row r="1610" spans="1:8" ht="17.100000000000001" customHeight="1" thickBot="1" x14ac:dyDescent="0.3">
      <c r="A1610" s="720"/>
      <c r="B1610" s="721"/>
      <c r="C1610" s="721"/>
      <c r="D1610" s="721"/>
      <c r="E1610" s="721"/>
      <c r="F1610" s="721"/>
      <c r="G1610" s="721"/>
      <c r="H1610" s="722"/>
    </row>
    <row r="1611" spans="1:8" ht="17.100000000000001" customHeight="1" x14ac:dyDescent="0.25">
      <c r="A1611" s="723" t="str">
        <f>+Presupuesto!A8</f>
        <v>ADECUACION Y MEJORAMIENTO DE AULAS ESCOLARES UBICADA EN LA INSTITUCION EDUCATIVA TECNICO COMERCIAL LA DORADA SEDE ESCUELA CENTRAL DEL MUNICIPIO DE SAN MIGUEL PUTUMAYO</v>
      </c>
      <c r="B1611" s="724"/>
      <c r="C1611" s="724"/>
      <c r="D1611" s="724"/>
      <c r="E1611" s="724"/>
      <c r="F1611" s="724"/>
      <c r="G1611" s="724"/>
      <c r="H1611" s="725"/>
    </row>
    <row r="1612" spans="1:8" ht="17.100000000000001" customHeight="1" thickBot="1" x14ac:dyDescent="0.3">
      <c r="A1612" s="726"/>
      <c r="B1612" s="727"/>
      <c r="C1612" s="727"/>
      <c r="D1612" s="727"/>
      <c r="E1612" s="727"/>
      <c r="F1612" s="727"/>
      <c r="G1612" s="727"/>
      <c r="H1612" s="728"/>
    </row>
    <row r="1613" spans="1:8" ht="17.100000000000001" customHeight="1" thickBot="1" x14ac:dyDescent="0.3">
      <c r="A1613" s="273"/>
      <c r="B1613" s="274"/>
      <c r="C1613" s="274"/>
      <c r="D1613" s="274"/>
      <c r="E1613" s="274"/>
      <c r="F1613" s="274"/>
      <c r="G1613" s="274"/>
      <c r="H1613" s="447"/>
    </row>
    <row r="1614" spans="1:8" ht="17.100000000000001" customHeight="1" thickBot="1" x14ac:dyDescent="0.3">
      <c r="A1614" s="729" t="s">
        <v>26</v>
      </c>
      <c r="B1614" s="730"/>
      <c r="C1614" s="730"/>
      <c r="D1614" s="730"/>
      <c r="E1614" s="730"/>
      <c r="F1614" s="730"/>
      <c r="G1614" s="730"/>
      <c r="H1614" s="731"/>
    </row>
    <row r="1615" spans="1:8" ht="17.100000000000001" customHeight="1" thickBot="1" x14ac:dyDescent="0.3">
      <c r="A1615" s="247"/>
      <c r="H1615" s="244"/>
    </row>
    <row r="1616" spans="1:8" ht="32.4" customHeight="1" thickBot="1" x14ac:dyDescent="0.3">
      <c r="A1616" s="351">
        <f>+Presupuesto!A53</f>
        <v>6.2</v>
      </c>
      <c r="B1616" s="743" t="str">
        <f>+Presupuesto!B53</f>
        <v>SUMINISTRO E INSTALACION DE SALIDA PARA TOMACORRIENTE DE USO GENERAL, INCLUYE CAJA PLASTICA, TOMA CORRIENTE Y DEMAS ACCESORIOS</v>
      </c>
      <c r="C1616" s="744"/>
      <c r="D1616" s="744"/>
      <c r="E1616" s="744"/>
      <c r="F1616" s="745"/>
      <c r="G1616" s="352" t="s">
        <v>28</v>
      </c>
      <c r="H1616" s="452" t="str">
        <f>+Presupuesto!D53</f>
        <v>UND</v>
      </c>
    </row>
    <row r="1617" spans="1:8" ht="17.100000000000001" customHeight="1" x14ac:dyDescent="0.25">
      <c r="A1617" s="247"/>
      <c r="H1617" s="244"/>
    </row>
    <row r="1618" spans="1:8" ht="17.100000000000001" customHeight="1" x14ac:dyDescent="0.25">
      <c r="A1618" s="206" t="s">
        <v>29</v>
      </c>
      <c r="B1618" s="704" t="s">
        <v>30</v>
      </c>
      <c r="C1618" s="704"/>
      <c r="D1618" s="704"/>
      <c r="E1618" s="704"/>
      <c r="F1618" s="704"/>
      <c r="G1618" s="704"/>
      <c r="H1618" s="244"/>
    </row>
    <row r="1619" spans="1:8" ht="17.100000000000001" customHeight="1" x14ac:dyDescent="0.25">
      <c r="A1619" s="225"/>
      <c r="B1619" s="735" t="s">
        <v>31</v>
      </c>
      <c r="C1619" s="736"/>
      <c r="D1619" s="225" t="s">
        <v>32</v>
      </c>
      <c r="E1619" s="225" t="s">
        <v>33</v>
      </c>
      <c r="F1619" s="225" t="s">
        <v>34</v>
      </c>
      <c r="G1619" s="225" t="s">
        <v>35</v>
      </c>
      <c r="H1619" s="244"/>
    </row>
    <row r="1620" spans="1:8" ht="17.100000000000001" customHeight="1" x14ac:dyDescent="0.25">
      <c r="A1620" s="199"/>
      <c r="B1620" s="737" t="s">
        <v>67</v>
      </c>
      <c r="C1620" s="738"/>
      <c r="D1620" s="199"/>
      <c r="E1620" s="207"/>
      <c r="F1620" s="207">
        <v>0.1</v>
      </c>
      <c r="G1620" s="218">
        <f>H1637*F1620</f>
        <v>4156.25</v>
      </c>
      <c r="H1620" s="245"/>
    </row>
    <row r="1621" spans="1:8" ht="17.100000000000001" customHeight="1" x14ac:dyDescent="0.25">
      <c r="A1621" s="199"/>
      <c r="B1621" s="735"/>
      <c r="C1621" s="736"/>
      <c r="D1621" s="199"/>
      <c r="E1621" s="207"/>
      <c r="F1621" s="207"/>
      <c r="G1621" s="207"/>
      <c r="H1621" s="245"/>
    </row>
    <row r="1622" spans="1:8" ht="17.100000000000001" customHeight="1" x14ac:dyDescent="0.25">
      <c r="A1622" s="199"/>
      <c r="B1622" s="735"/>
      <c r="C1622" s="736"/>
      <c r="D1622" s="199"/>
      <c r="E1622" s="207"/>
      <c r="F1622" s="207"/>
      <c r="G1622" s="207"/>
      <c r="H1622" s="228"/>
    </row>
    <row r="1623" spans="1:8" ht="17.100000000000001" customHeight="1" x14ac:dyDescent="0.25">
      <c r="A1623" s="248"/>
      <c r="E1623" s="208" t="s">
        <v>36</v>
      </c>
      <c r="F1623" s="208"/>
      <c r="G1623" s="208"/>
      <c r="H1623" s="370">
        <f>SUM(G1620:G1622)</f>
        <v>4156.25</v>
      </c>
    </row>
    <row r="1624" spans="1:8" ht="17.100000000000001" customHeight="1" x14ac:dyDescent="0.25">
      <c r="A1624" s="206" t="s">
        <v>37</v>
      </c>
      <c r="B1624" s="704" t="s">
        <v>38</v>
      </c>
      <c r="C1624" s="704"/>
      <c r="D1624" s="704"/>
      <c r="E1624" s="704"/>
      <c r="F1624" s="704"/>
      <c r="G1624" s="704"/>
      <c r="H1624" s="228"/>
    </row>
    <row r="1625" spans="1:8" ht="17.100000000000001" customHeight="1" x14ac:dyDescent="0.25">
      <c r="A1625" s="225"/>
      <c r="B1625" s="735" t="s">
        <v>31</v>
      </c>
      <c r="C1625" s="736"/>
      <c r="D1625" s="199" t="s">
        <v>12</v>
      </c>
      <c r="E1625" s="209" t="s">
        <v>39</v>
      </c>
      <c r="F1625" s="209" t="s">
        <v>40</v>
      </c>
      <c r="G1625" s="209" t="s">
        <v>35</v>
      </c>
      <c r="H1625" s="228"/>
    </row>
    <row r="1626" spans="1:8" ht="17.100000000000001" customHeight="1" x14ac:dyDescent="0.25">
      <c r="A1626" s="199"/>
      <c r="B1626" s="739" t="s">
        <v>417</v>
      </c>
      <c r="C1626" s="740"/>
      <c r="D1626" s="221" t="s">
        <v>5</v>
      </c>
      <c r="E1626" s="207">
        <v>1</v>
      </c>
      <c r="F1626" s="207">
        <v>9000</v>
      </c>
      <c r="G1626" s="207">
        <f>E1626*F1626</f>
        <v>9000</v>
      </c>
      <c r="H1626" s="228"/>
    </row>
    <row r="1627" spans="1:8" ht="17.100000000000001" customHeight="1" x14ac:dyDescent="0.25">
      <c r="A1627" s="199"/>
      <c r="B1627" s="739" t="s">
        <v>418</v>
      </c>
      <c r="C1627" s="740"/>
      <c r="D1627" s="221" t="s">
        <v>419</v>
      </c>
      <c r="E1627" s="207">
        <v>10</v>
      </c>
      <c r="F1627" s="207">
        <v>2980</v>
      </c>
      <c r="G1627" s="207">
        <f>E1627*F1627</f>
        <v>29800</v>
      </c>
      <c r="H1627" s="228"/>
    </row>
    <row r="1628" spans="1:8" ht="17.100000000000001" customHeight="1" x14ac:dyDescent="0.25">
      <c r="A1628" s="199"/>
      <c r="B1628" s="739" t="s">
        <v>420</v>
      </c>
      <c r="C1628" s="740"/>
      <c r="D1628" s="221" t="s">
        <v>419</v>
      </c>
      <c r="E1628" s="207">
        <v>10</v>
      </c>
      <c r="F1628" s="207">
        <v>2980</v>
      </c>
      <c r="G1628" s="207">
        <f>E1628*F1628</f>
        <v>29800</v>
      </c>
      <c r="H1628" s="228"/>
    </row>
    <row r="1629" spans="1:8" ht="17.100000000000001" customHeight="1" x14ac:dyDescent="0.25">
      <c r="A1629" s="199"/>
      <c r="B1629" s="739" t="s">
        <v>421</v>
      </c>
      <c r="C1629" s="740"/>
      <c r="D1629" s="221" t="s">
        <v>419</v>
      </c>
      <c r="E1629" s="207">
        <v>10</v>
      </c>
      <c r="F1629" s="207">
        <v>2980</v>
      </c>
      <c r="G1629" s="207">
        <f>E1629*F1629</f>
        <v>29800</v>
      </c>
      <c r="H1629" s="228"/>
    </row>
    <row r="1630" spans="1:8" ht="17.100000000000001" customHeight="1" x14ac:dyDescent="0.25">
      <c r="A1630" s="199"/>
      <c r="B1630" s="739" t="s">
        <v>422</v>
      </c>
      <c r="C1630" s="740"/>
      <c r="D1630" s="199" t="s">
        <v>76</v>
      </c>
      <c r="E1630" s="207">
        <v>1</v>
      </c>
      <c r="F1630" s="207">
        <v>5000</v>
      </c>
      <c r="G1630" s="207">
        <f>E1630*F1630</f>
        <v>5000</v>
      </c>
      <c r="H1630" s="228"/>
    </row>
    <row r="1631" spans="1:8" ht="17.100000000000001" customHeight="1" x14ac:dyDescent="0.25">
      <c r="A1631" s="248" t="s">
        <v>41</v>
      </c>
      <c r="E1631" s="208" t="s">
        <v>42</v>
      </c>
      <c r="F1631" s="208"/>
      <c r="G1631" s="208"/>
      <c r="H1631" s="370">
        <f>(SUM(G1626:G1630))</f>
        <v>103400</v>
      </c>
    </row>
    <row r="1632" spans="1:8" ht="17.100000000000001" customHeight="1" x14ac:dyDescent="0.25">
      <c r="A1632" s="206" t="s">
        <v>43</v>
      </c>
      <c r="B1632" s="704" t="s">
        <v>44</v>
      </c>
      <c r="C1632" s="704"/>
      <c r="D1632" s="704"/>
      <c r="E1632" s="704"/>
      <c r="F1632" s="704"/>
      <c r="G1632" s="704"/>
      <c r="H1632" s="228"/>
    </row>
    <row r="1633" spans="1:8" ht="17.100000000000001" customHeight="1" x14ac:dyDescent="0.25">
      <c r="A1633" s="199" t="s">
        <v>45</v>
      </c>
      <c r="B1633" s="225" t="s">
        <v>31</v>
      </c>
      <c r="C1633" s="225" t="s">
        <v>46</v>
      </c>
      <c r="D1633" s="225" t="s">
        <v>47</v>
      </c>
      <c r="E1633" s="209" t="s">
        <v>48</v>
      </c>
      <c r="F1633" s="207" t="s">
        <v>34</v>
      </c>
      <c r="G1633" s="207" t="s">
        <v>35</v>
      </c>
      <c r="H1633" s="228"/>
    </row>
    <row r="1634" spans="1:8" ht="17.100000000000001" customHeight="1" x14ac:dyDescent="0.25">
      <c r="A1634" s="199">
        <v>1</v>
      </c>
      <c r="B1634" s="199" t="s">
        <v>189</v>
      </c>
      <c r="C1634" s="211">
        <v>70000</v>
      </c>
      <c r="D1634" s="212">
        <v>0.75</v>
      </c>
      <c r="E1634" s="210">
        <f>+(A1634*C1634)+(A1634*C1634*D1634)</f>
        <v>122500</v>
      </c>
      <c r="F1634" s="213">
        <v>8</v>
      </c>
      <c r="G1634" s="218">
        <f>(E1634)/(F1634)</f>
        <v>15312.5</v>
      </c>
      <c r="H1634" s="228"/>
    </row>
    <row r="1635" spans="1:8" ht="17.100000000000001" customHeight="1" x14ac:dyDescent="0.25">
      <c r="A1635" s="199">
        <v>1</v>
      </c>
      <c r="B1635" s="199" t="s">
        <v>327</v>
      </c>
      <c r="C1635" s="211">
        <v>120000</v>
      </c>
      <c r="D1635" s="212">
        <v>0.75</v>
      </c>
      <c r="E1635" s="210">
        <f>+(A1635*C1635)+(A1635*C1635*D1635)</f>
        <v>210000</v>
      </c>
      <c r="F1635" s="213">
        <v>8</v>
      </c>
      <c r="G1635" s="218">
        <f>(E1635)/(F1635)</f>
        <v>26250</v>
      </c>
      <c r="H1635" s="228"/>
    </row>
    <row r="1636" spans="1:8" ht="17.100000000000001" customHeight="1" x14ac:dyDescent="0.25">
      <c r="A1636" s="199"/>
      <c r="B1636" s="199"/>
      <c r="C1636" s="199"/>
      <c r="D1636" s="199"/>
      <c r="E1636" s="207"/>
      <c r="F1636" s="207"/>
      <c r="G1636" s="207"/>
      <c r="H1636" s="228"/>
    </row>
    <row r="1637" spans="1:8" ht="17.100000000000001" customHeight="1" x14ac:dyDescent="0.25">
      <c r="A1637" s="248"/>
      <c r="E1637" s="208" t="s">
        <v>50</v>
      </c>
      <c r="F1637" s="208"/>
      <c r="G1637" s="208"/>
      <c r="H1637" s="453">
        <f>SUM(G1634)+(G1635)</f>
        <v>41562.5</v>
      </c>
    </row>
    <row r="1638" spans="1:8" ht="17.100000000000001" customHeight="1" x14ac:dyDescent="0.25">
      <c r="A1638" s="206" t="s">
        <v>51</v>
      </c>
      <c r="B1638" s="704" t="s">
        <v>18</v>
      </c>
      <c r="C1638" s="704"/>
      <c r="D1638" s="704"/>
      <c r="E1638" s="704"/>
      <c r="F1638" s="704"/>
      <c r="G1638" s="704"/>
      <c r="H1638" s="228"/>
    </row>
    <row r="1639" spans="1:8" ht="17.100000000000001" customHeight="1" x14ac:dyDescent="0.25">
      <c r="A1639" s="199"/>
      <c r="B1639" s="199" t="s">
        <v>31</v>
      </c>
      <c r="C1639" s="225" t="s">
        <v>12</v>
      </c>
      <c r="D1639" s="225" t="s">
        <v>13</v>
      </c>
      <c r="E1639" s="225" t="s">
        <v>52</v>
      </c>
      <c r="F1639" s="225"/>
      <c r="G1639" s="207" t="s">
        <v>53</v>
      </c>
      <c r="H1639" s="228"/>
    </row>
    <row r="1640" spans="1:8" ht="17.100000000000001" customHeight="1" x14ac:dyDescent="0.25">
      <c r="A1640" s="199"/>
      <c r="B1640" s="199"/>
      <c r="C1640" s="214"/>
      <c r="D1640" s="199"/>
      <c r="E1640" s="207"/>
      <c r="F1640" s="207"/>
      <c r="G1640" s="207"/>
      <c r="H1640" s="228"/>
    </row>
    <row r="1641" spans="1:8" ht="17.100000000000001" customHeight="1" x14ac:dyDescent="0.25">
      <c r="A1641" s="199"/>
      <c r="B1641" s="199"/>
      <c r="C1641" s="210"/>
      <c r="D1641" s="199"/>
      <c r="E1641" s="207"/>
      <c r="F1641" s="207"/>
      <c r="G1641" s="207"/>
      <c r="H1641" s="228"/>
    </row>
    <row r="1642" spans="1:8" ht="17.100000000000001" customHeight="1" x14ac:dyDescent="0.25">
      <c r="A1642" s="199"/>
      <c r="B1642" s="199"/>
      <c r="C1642" s="199"/>
      <c r="D1642" s="199"/>
      <c r="E1642" s="207"/>
      <c r="F1642" s="207"/>
      <c r="G1642" s="207"/>
      <c r="H1642" s="228"/>
    </row>
    <row r="1643" spans="1:8" ht="17.100000000000001" customHeight="1" x14ac:dyDescent="0.25">
      <c r="A1643" s="248"/>
      <c r="E1643" s="208" t="s">
        <v>50</v>
      </c>
      <c r="F1643" s="208"/>
      <c r="G1643" s="208"/>
      <c r="H1643" s="228">
        <f>ROUND(SUM(G1640)+(G1641),0)</f>
        <v>0</v>
      </c>
    </row>
    <row r="1644" spans="1:8" ht="17.100000000000001" customHeight="1" x14ac:dyDescent="0.25">
      <c r="A1644" s="247"/>
      <c r="E1644" s="208"/>
      <c r="F1644" s="208"/>
      <c r="G1644" s="208"/>
      <c r="H1644" s="228"/>
    </row>
    <row r="1645" spans="1:8" ht="17.100000000000001" customHeight="1" x14ac:dyDescent="0.25">
      <c r="A1645" s="247"/>
      <c r="D1645" s="215" t="s">
        <v>54</v>
      </c>
      <c r="E1645" s="216"/>
      <c r="F1645" s="216"/>
      <c r="G1645" s="216"/>
      <c r="H1645" s="453">
        <f>ROUND(SUM(H1623:H1644),2)</f>
        <v>149118.75</v>
      </c>
    </row>
    <row r="1646" spans="1:8" ht="17.100000000000001" customHeight="1" x14ac:dyDescent="0.25">
      <c r="A1646" s="247"/>
      <c r="E1646" s="208"/>
      <c r="F1646" s="208"/>
      <c r="G1646" s="208"/>
      <c r="H1646" s="228"/>
    </row>
    <row r="1647" spans="1:8" ht="17.100000000000001" customHeight="1" x14ac:dyDescent="0.25">
      <c r="A1647" s="206" t="s">
        <v>55</v>
      </c>
      <c r="B1647" s="704" t="s">
        <v>56</v>
      </c>
      <c r="C1647" s="704"/>
      <c r="D1647" s="704"/>
      <c r="E1647" s="704"/>
      <c r="F1647" s="704"/>
      <c r="G1647" s="704"/>
      <c r="H1647" s="228"/>
    </row>
    <row r="1648" spans="1:8" ht="17.100000000000001" customHeight="1" x14ac:dyDescent="0.25">
      <c r="A1648" s="225"/>
      <c r="B1648" s="225" t="s">
        <v>31</v>
      </c>
      <c r="C1648" s="225" t="s">
        <v>57</v>
      </c>
      <c r="D1648" s="199" t="s">
        <v>58</v>
      </c>
      <c r="E1648" s="207"/>
      <c r="F1648" s="207" t="s">
        <v>59</v>
      </c>
      <c r="G1648" s="207"/>
      <c r="H1648" s="228"/>
    </row>
    <row r="1649" spans="1:8" ht="17.100000000000001" customHeight="1" x14ac:dyDescent="0.25">
      <c r="A1649" s="199"/>
      <c r="B1649" s="225" t="s">
        <v>60</v>
      </c>
      <c r="C1649" s="212">
        <v>0.28000000000000003</v>
      </c>
      <c r="D1649" s="199"/>
      <c r="E1649" s="210"/>
      <c r="F1649" s="199"/>
      <c r="G1649" s="218">
        <f>+H1645*C1649</f>
        <v>41753.250000000007</v>
      </c>
      <c r="H1649" s="228"/>
    </row>
    <row r="1650" spans="1:8" ht="17.100000000000001" customHeight="1" x14ac:dyDescent="0.25">
      <c r="A1650" s="199"/>
      <c r="B1650" s="225" t="s">
        <v>61</v>
      </c>
      <c r="C1650" s="212">
        <v>0.01</v>
      </c>
      <c r="D1650" s="199"/>
      <c r="E1650" s="210"/>
      <c r="F1650" s="199"/>
      <c r="G1650" s="218">
        <f>+H1645*C1650</f>
        <v>1491.1875</v>
      </c>
      <c r="H1650" s="228"/>
    </row>
    <row r="1651" spans="1:8" ht="17.100000000000001" customHeight="1" x14ac:dyDescent="0.25">
      <c r="A1651" s="199"/>
      <c r="B1651" s="225" t="s">
        <v>62</v>
      </c>
      <c r="C1651" s="212">
        <v>0.03</v>
      </c>
      <c r="D1651" s="199"/>
      <c r="E1651" s="210"/>
      <c r="F1651" s="199"/>
      <c r="G1651" s="218">
        <f>+H1645*C1651</f>
        <v>4473.5625</v>
      </c>
      <c r="H1651" s="228"/>
    </row>
    <row r="1652" spans="1:8" ht="17.100000000000001" customHeight="1" x14ac:dyDescent="0.25">
      <c r="A1652" s="247"/>
      <c r="D1652" s="215" t="s">
        <v>63</v>
      </c>
      <c r="E1652" s="216"/>
      <c r="F1652" s="216"/>
      <c r="G1652" s="216"/>
      <c r="H1652" s="453">
        <f>SUM(G1648:G1651)</f>
        <v>47718.000000000007</v>
      </c>
    </row>
    <row r="1653" spans="1:8" ht="17.100000000000001" customHeight="1" x14ac:dyDescent="0.25">
      <c r="A1653" s="247"/>
      <c r="E1653" s="208"/>
      <c r="F1653" s="208"/>
      <c r="G1653" s="208"/>
      <c r="H1653" s="228"/>
    </row>
    <row r="1654" spans="1:8" ht="17.100000000000001" customHeight="1" x14ac:dyDescent="0.25">
      <c r="A1654" s="247"/>
      <c r="D1654" s="215" t="s">
        <v>64</v>
      </c>
      <c r="E1654" s="216"/>
      <c r="F1654" s="216"/>
      <c r="G1654" s="208"/>
      <c r="H1654" s="453">
        <f>H1645+H1652</f>
        <v>196836.75</v>
      </c>
    </row>
    <row r="1655" spans="1:8" ht="17.100000000000001" customHeight="1" x14ac:dyDescent="0.25">
      <c r="A1655" s="247"/>
      <c r="D1655" s="215"/>
      <c r="E1655" s="216"/>
      <c r="F1655" s="216"/>
      <c r="G1655" s="208"/>
      <c r="H1655" s="228"/>
    </row>
    <row r="1656" spans="1:8" ht="17.100000000000001" customHeight="1" x14ac:dyDescent="0.25">
      <c r="A1656" s="205"/>
      <c r="B1656" s="204"/>
      <c r="E1656" s="219"/>
      <c r="F1656" s="220"/>
      <c r="G1656" s="203"/>
      <c r="H1656" s="228"/>
    </row>
    <row r="1657" spans="1:8" ht="17.100000000000001" customHeight="1" x14ac:dyDescent="0.25">
      <c r="A1657" s="249" t="str">
        <f>+A1599</f>
        <v>ING JHON ALEXANDER ARIAS</v>
      </c>
      <c r="B1657" s="217"/>
      <c r="E1657" s="216" t="str">
        <f>+E1599</f>
        <v>ARQ. GUILLERMO YAMID VALLEJOS BENAVIDES</v>
      </c>
      <c r="F1657" s="208"/>
      <c r="G1657" s="208"/>
      <c r="H1657" s="228"/>
    </row>
    <row r="1658" spans="1:8" ht="17.100000000000001" customHeight="1" x14ac:dyDescent="0.25">
      <c r="A1658" s="250" t="str">
        <f t="shared" ref="A1658:A1659" si="36">+A1600</f>
        <v>APOYO PROFESIONAL SPOPM</v>
      </c>
      <c r="B1658" s="217"/>
      <c r="E1658" s="208" t="str">
        <f t="shared" ref="E1658:E1659" si="37">+E1600</f>
        <v>SECRETARIO DE PLANEACION Y OBRAS PUBLICAS</v>
      </c>
      <c r="F1658" s="208"/>
      <c r="G1658" s="208"/>
      <c r="H1658" s="228"/>
    </row>
    <row r="1659" spans="1:8" ht="17.100000000000001" customHeight="1" x14ac:dyDescent="0.25">
      <c r="A1659" s="250" t="str">
        <f t="shared" si="36"/>
        <v>MP 111037-0703225 NRÑ</v>
      </c>
      <c r="B1659" s="251"/>
      <c r="C1659" s="204"/>
      <c r="D1659" s="204"/>
      <c r="E1659" s="203" t="str">
        <f t="shared" si="37"/>
        <v>SAN MIGUEL - PUTUMAYO</v>
      </c>
      <c r="F1659" s="203"/>
      <c r="G1659" s="203"/>
      <c r="H1659" s="246"/>
    </row>
    <row r="1660" spans="1:8" ht="17.100000000000001" customHeight="1" x14ac:dyDescent="0.25">
      <c r="A1660" s="517"/>
    </row>
    <row r="1661" spans="1:8" ht="17.100000000000001" customHeight="1" x14ac:dyDescent="0.3">
      <c r="A1661" s="705"/>
      <c r="B1661" s="706"/>
      <c r="C1661" s="638" t="s">
        <v>224</v>
      </c>
      <c r="D1661" s="625" t="s">
        <v>225</v>
      </c>
      <c r="E1661" s="626"/>
      <c r="F1661" s="275">
        <v>103</v>
      </c>
      <c r="G1661" s="711"/>
      <c r="H1661" s="711"/>
    </row>
    <row r="1662" spans="1:8" ht="17.100000000000001" customHeight="1" x14ac:dyDescent="0.25">
      <c r="A1662" s="707"/>
      <c r="B1662" s="708"/>
      <c r="C1662" s="639"/>
      <c r="D1662" s="634" t="s">
        <v>195</v>
      </c>
      <c r="E1662" s="635"/>
      <c r="F1662" s="712">
        <v>51</v>
      </c>
      <c r="G1662" s="711"/>
      <c r="H1662" s="711"/>
    </row>
    <row r="1663" spans="1:8" ht="17.100000000000001" customHeight="1" x14ac:dyDescent="0.25">
      <c r="A1663" s="707"/>
      <c r="B1663" s="708"/>
      <c r="C1663" s="307" t="s">
        <v>196</v>
      </c>
      <c r="D1663" s="636"/>
      <c r="E1663" s="637"/>
      <c r="F1663" s="713"/>
      <c r="G1663" s="711"/>
      <c r="H1663" s="711"/>
    </row>
    <row r="1664" spans="1:8" ht="17.100000000000001" customHeight="1" x14ac:dyDescent="0.25">
      <c r="A1664" s="707"/>
      <c r="B1664" s="708"/>
      <c r="C1664" s="308" t="s">
        <v>197</v>
      </c>
      <c r="D1664" s="640" t="s">
        <v>198</v>
      </c>
      <c r="E1664" s="641"/>
      <c r="F1664" s="309">
        <v>1</v>
      </c>
      <c r="G1664" s="711"/>
      <c r="H1664" s="711"/>
    </row>
    <row r="1665" spans="1:8" ht="17.100000000000001" customHeight="1" x14ac:dyDescent="0.25">
      <c r="A1665" s="707"/>
      <c r="B1665" s="708"/>
      <c r="C1665" s="714" t="s">
        <v>199</v>
      </c>
      <c r="D1665" s="716" t="s">
        <v>200</v>
      </c>
      <c r="E1665" s="717"/>
      <c r="F1665" s="307" t="s">
        <v>201</v>
      </c>
      <c r="G1665" s="711"/>
      <c r="H1665" s="711"/>
    </row>
    <row r="1666" spans="1:8" ht="17.100000000000001" customHeight="1" x14ac:dyDescent="0.25">
      <c r="A1666" s="709"/>
      <c r="B1666" s="710"/>
      <c r="C1666" s="715"/>
      <c r="D1666" s="718"/>
      <c r="E1666" s="719"/>
      <c r="F1666" s="310">
        <v>44216</v>
      </c>
      <c r="G1666" s="711"/>
      <c r="H1666" s="711"/>
    </row>
    <row r="1667" spans="1:8" ht="17.100000000000001" customHeight="1" thickBot="1" x14ac:dyDescent="0.3">
      <c r="A1667" s="720"/>
      <c r="B1667" s="721"/>
      <c r="C1667" s="721"/>
      <c r="D1667" s="721"/>
      <c r="E1667" s="721"/>
      <c r="F1667" s="721"/>
      <c r="G1667" s="721"/>
      <c r="H1667" s="722"/>
    </row>
    <row r="1668" spans="1:8" ht="17.100000000000001" customHeight="1" x14ac:dyDescent="0.25">
      <c r="A1668" s="723" t="str">
        <f>+Presupuesto!A8</f>
        <v>ADECUACION Y MEJORAMIENTO DE AULAS ESCOLARES UBICADA EN LA INSTITUCION EDUCATIVA TECNICO COMERCIAL LA DORADA SEDE ESCUELA CENTRAL DEL MUNICIPIO DE SAN MIGUEL PUTUMAYO</v>
      </c>
      <c r="B1668" s="724"/>
      <c r="C1668" s="724"/>
      <c r="D1668" s="724"/>
      <c r="E1668" s="724"/>
      <c r="F1668" s="724"/>
      <c r="G1668" s="724"/>
      <c r="H1668" s="725"/>
    </row>
    <row r="1669" spans="1:8" ht="17.100000000000001" customHeight="1" thickBot="1" x14ac:dyDescent="0.3">
      <c r="A1669" s="726"/>
      <c r="B1669" s="727"/>
      <c r="C1669" s="727"/>
      <c r="D1669" s="727"/>
      <c r="E1669" s="727"/>
      <c r="F1669" s="727"/>
      <c r="G1669" s="727"/>
      <c r="H1669" s="728"/>
    </row>
    <row r="1670" spans="1:8" ht="17.100000000000001" customHeight="1" thickBot="1" x14ac:dyDescent="0.3">
      <c r="A1670" s="273"/>
      <c r="B1670" s="274"/>
      <c r="C1670" s="274"/>
      <c r="D1670" s="274"/>
      <c r="E1670" s="274"/>
      <c r="F1670" s="274"/>
      <c r="G1670" s="274"/>
      <c r="H1670" s="447"/>
    </row>
    <row r="1671" spans="1:8" ht="17.100000000000001" customHeight="1" thickBot="1" x14ac:dyDescent="0.3">
      <c r="A1671" s="729" t="s">
        <v>26</v>
      </c>
      <c r="B1671" s="730"/>
      <c r="C1671" s="730"/>
      <c r="D1671" s="730"/>
      <c r="E1671" s="730"/>
      <c r="F1671" s="730"/>
      <c r="G1671" s="730"/>
      <c r="H1671" s="731"/>
    </row>
    <row r="1672" spans="1:8" ht="17.100000000000001" customHeight="1" thickBot="1" x14ac:dyDescent="0.3">
      <c r="A1672" s="247"/>
      <c r="H1672" s="244"/>
    </row>
    <row r="1673" spans="1:8" ht="31.2" customHeight="1" thickBot="1" x14ac:dyDescent="0.3">
      <c r="A1673" s="351">
        <f>+Presupuesto!A54</f>
        <v>6.3</v>
      </c>
      <c r="B1673" s="743" t="str">
        <f>+Presupuesto!B54</f>
        <v>SUMINISTRO E INSTALACION DE SALIDA DE LAMPARA LED DE 24W INLUYE CAJA DE ALUMINIO OCTAGONAL Y DEMAS ACCEORIOS</v>
      </c>
      <c r="C1673" s="744"/>
      <c r="D1673" s="744"/>
      <c r="E1673" s="744"/>
      <c r="F1673" s="745"/>
      <c r="G1673" s="352" t="s">
        <v>28</v>
      </c>
      <c r="H1673" s="452" t="str">
        <f>+Presupuesto!D54</f>
        <v>UND</v>
      </c>
    </row>
    <row r="1674" spans="1:8" ht="17.100000000000001" customHeight="1" x14ac:dyDescent="0.25">
      <c r="A1674" s="247"/>
      <c r="H1674" s="244"/>
    </row>
    <row r="1675" spans="1:8" ht="17.100000000000001" customHeight="1" x14ac:dyDescent="0.25">
      <c r="A1675" s="206" t="s">
        <v>29</v>
      </c>
      <c r="B1675" s="704" t="s">
        <v>30</v>
      </c>
      <c r="C1675" s="704"/>
      <c r="D1675" s="704"/>
      <c r="E1675" s="704"/>
      <c r="F1675" s="704"/>
      <c r="G1675" s="704"/>
      <c r="H1675" s="244"/>
    </row>
    <row r="1676" spans="1:8" ht="17.100000000000001" customHeight="1" x14ac:dyDescent="0.25">
      <c r="A1676" s="225"/>
      <c r="B1676" s="735" t="s">
        <v>31</v>
      </c>
      <c r="C1676" s="736"/>
      <c r="D1676" s="225" t="s">
        <v>32</v>
      </c>
      <c r="E1676" s="225" t="s">
        <v>33</v>
      </c>
      <c r="F1676" s="225" t="s">
        <v>34</v>
      </c>
      <c r="G1676" s="225" t="s">
        <v>35</v>
      </c>
      <c r="H1676" s="244"/>
    </row>
    <row r="1677" spans="1:8" ht="17.100000000000001" customHeight="1" x14ac:dyDescent="0.25">
      <c r="A1677" s="199"/>
      <c r="B1677" s="737" t="s">
        <v>67</v>
      </c>
      <c r="C1677" s="738"/>
      <c r="D1677" s="199"/>
      <c r="E1677" s="207"/>
      <c r="F1677" s="207">
        <v>0.1</v>
      </c>
      <c r="G1677" s="218">
        <f>H1699*F1677</f>
        <v>6650</v>
      </c>
      <c r="H1677" s="245"/>
    </row>
    <row r="1678" spans="1:8" ht="17.100000000000001" customHeight="1" x14ac:dyDescent="0.25">
      <c r="A1678" s="199"/>
      <c r="B1678" s="735"/>
      <c r="C1678" s="736"/>
      <c r="D1678" s="199"/>
      <c r="E1678" s="207"/>
      <c r="F1678" s="207"/>
      <c r="G1678" s="207"/>
      <c r="H1678" s="245"/>
    </row>
    <row r="1679" spans="1:8" ht="17.100000000000001" customHeight="1" x14ac:dyDescent="0.25">
      <c r="A1679" s="199"/>
      <c r="B1679" s="735"/>
      <c r="C1679" s="736"/>
      <c r="D1679" s="199"/>
      <c r="E1679" s="207"/>
      <c r="F1679" s="207"/>
      <c r="G1679" s="207"/>
      <c r="H1679" s="228"/>
    </row>
    <row r="1680" spans="1:8" ht="17.100000000000001" customHeight="1" x14ac:dyDescent="0.25">
      <c r="A1680" s="248"/>
      <c r="E1680" s="208" t="s">
        <v>36</v>
      </c>
      <c r="F1680" s="208"/>
      <c r="G1680" s="208"/>
      <c r="H1680" s="370">
        <f>SUM(G1677:G1679)</f>
        <v>6650</v>
      </c>
    </row>
    <row r="1681" spans="1:8" ht="17.100000000000001" customHeight="1" x14ac:dyDescent="0.25">
      <c r="A1681" s="206" t="s">
        <v>37</v>
      </c>
      <c r="B1681" s="704" t="s">
        <v>38</v>
      </c>
      <c r="C1681" s="704"/>
      <c r="D1681" s="704"/>
      <c r="E1681" s="704"/>
      <c r="F1681" s="704"/>
      <c r="G1681" s="704"/>
      <c r="H1681" s="228"/>
    </row>
    <row r="1682" spans="1:8" ht="17.100000000000001" customHeight="1" x14ac:dyDescent="0.25">
      <c r="A1682" s="225"/>
      <c r="B1682" s="735" t="s">
        <v>31</v>
      </c>
      <c r="C1682" s="736"/>
      <c r="D1682" s="199" t="s">
        <v>12</v>
      </c>
      <c r="E1682" s="209" t="s">
        <v>39</v>
      </c>
      <c r="F1682" s="209" t="s">
        <v>40</v>
      </c>
      <c r="G1682" s="209" t="s">
        <v>35</v>
      </c>
      <c r="H1682" s="228"/>
    </row>
    <row r="1683" spans="1:8" ht="17.100000000000001" customHeight="1" x14ac:dyDescent="0.25">
      <c r="A1683" s="199"/>
      <c r="B1683" s="739" t="s">
        <v>423</v>
      </c>
      <c r="C1683" s="740"/>
      <c r="D1683" s="221" t="s">
        <v>76</v>
      </c>
      <c r="E1683" s="207">
        <v>1</v>
      </c>
      <c r="F1683" s="207">
        <v>41000</v>
      </c>
      <c r="G1683" s="207">
        <f>E1683*F1683</f>
        <v>41000</v>
      </c>
      <c r="H1683" s="228"/>
    </row>
    <row r="1684" spans="1:8" ht="17.100000000000001" customHeight="1" x14ac:dyDescent="0.25">
      <c r="A1684" s="199"/>
      <c r="B1684" s="739" t="s">
        <v>424</v>
      </c>
      <c r="C1684" s="740"/>
      <c r="D1684" s="221" t="s">
        <v>76</v>
      </c>
      <c r="E1684" s="207">
        <v>1</v>
      </c>
      <c r="F1684" s="207">
        <v>2500</v>
      </c>
      <c r="G1684" s="207">
        <f t="shared" ref="G1684:G1691" si="38">E1684*F1684</f>
        <v>2500</v>
      </c>
      <c r="H1684" s="228"/>
    </row>
    <row r="1685" spans="1:8" ht="17.100000000000001" customHeight="1" x14ac:dyDescent="0.25">
      <c r="A1685" s="199"/>
      <c r="B1685" s="739" t="s">
        <v>425</v>
      </c>
      <c r="C1685" s="740"/>
      <c r="D1685" s="221" t="s">
        <v>419</v>
      </c>
      <c r="E1685" s="207">
        <v>12</v>
      </c>
      <c r="F1685" s="207">
        <v>2980</v>
      </c>
      <c r="G1685" s="207">
        <f t="shared" si="38"/>
        <v>35760</v>
      </c>
      <c r="H1685" s="228"/>
    </row>
    <row r="1686" spans="1:8" ht="17.100000000000001" customHeight="1" x14ac:dyDescent="0.25">
      <c r="A1686" s="199"/>
      <c r="B1686" s="739" t="s">
        <v>426</v>
      </c>
      <c r="C1686" s="740"/>
      <c r="D1686" s="221" t="s">
        <v>419</v>
      </c>
      <c r="E1686" s="207">
        <v>12</v>
      </c>
      <c r="F1686" s="207">
        <v>2980</v>
      </c>
      <c r="G1686" s="207">
        <f t="shared" si="38"/>
        <v>35760</v>
      </c>
      <c r="H1686" s="228"/>
    </row>
    <row r="1687" spans="1:8" ht="17.100000000000001" customHeight="1" x14ac:dyDescent="0.25">
      <c r="A1687" s="199"/>
      <c r="B1687" s="739" t="s">
        <v>427</v>
      </c>
      <c r="C1687" s="740"/>
      <c r="D1687" s="221" t="s">
        <v>419</v>
      </c>
      <c r="E1687" s="207">
        <v>12</v>
      </c>
      <c r="F1687" s="207">
        <v>2980</v>
      </c>
      <c r="G1687" s="207">
        <f t="shared" si="38"/>
        <v>35760</v>
      </c>
      <c r="H1687" s="228"/>
    </row>
    <row r="1688" spans="1:8" ht="17.100000000000001" customHeight="1" x14ac:dyDescent="0.25">
      <c r="A1688" s="199"/>
      <c r="B1688" s="739" t="s">
        <v>428</v>
      </c>
      <c r="C1688" s="740"/>
      <c r="D1688" s="221" t="s">
        <v>76</v>
      </c>
      <c r="E1688" s="207">
        <v>2</v>
      </c>
      <c r="F1688" s="207">
        <v>500</v>
      </c>
      <c r="G1688" s="207">
        <f t="shared" si="38"/>
        <v>1000</v>
      </c>
      <c r="H1688" s="228"/>
    </row>
    <row r="1689" spans="1:8" ht="17.100000000000001" customHeight="1" x14ac:dyDescent="0.25">
      <c r="A1689" s="199"/>
      <c r="B1689" s="739" t="s">
        <v>434</v>
      </c>
      <c r="C1689" s="740"/>
      <c r="D1689" s="221" t="s">
        <v>76</v>
      </c>
      <c r="E1689" s="207">
        <v>10</v>
      </c>
      <c r="F1689" s="207">
        <v>5000</v>
      </c>
      <c r="G1689" s="207">
        <f t="shared" si="38"/>
        <v>50000</v>
      </c>
      <c r="H1689" s="228"/>
    </row>
    <row r="1690" spans="1:8" ht="17.100000000000001" customHeight="1" x14ac:dyDescent="0.25">
      <c r="A1690" s="199"/>
      <c r="B1690" s="739" t="s">
        <v>429</v>
      </c>
      <c r="C1690" s="740"/>
      <c r="D1690" s="221" t="s">
        <v>76</v>
      </c>
      <c r="E1690" s="207">
        <v>4</v>
      </c>
      <c r="F1690" s="207">
        <v>1400</v>
      </c>
      <c r="G1690" s="207">
        <f t="shared" si="38"/>
        <v>5600</v>
      </c>
      <c r="H1690" s="228"/>
    </row>
    <row r="1691" spans="1:8" ht="17.100000000000001" customHeight="1" x14ac:dyDescent="0.25">
      <c r="A1691" s="199"/>
      <c r="B1691" s="739" t="s">
        <v>430</v>
      </c>
      <c r="C1691" s="740"/>
      <c r="D1691" s="221" t="s">
        <v>76</v>
      </c>
      <c r="E1691" s="207">
        <v>0.1</v>
      </c>
      <c r="F1691" s="207">
        <v>14500</v>
      </c>
      <c r="G1691" s="207">
        <f t="shared" si="38"/>
        <v>1450</v>
      </c>
      <c r="H1691" s="228"/>
    </row>
    <row r="1692" spans="1:8" ht="17.100000000000001" customHeight="1" x14ac:dyDescent="0.25">
      <c r="A1692" s="199"/>
      <c r="B1692" s="739"/>
      <c r="C1692" s="740"/>
      <c r="D1692" s="199"/>
      <c r="E1692" s="207"/>
      <c r="F1692" s="207"/>
      <c r="G1692" s="207">
        <f>E1692*F1692</f>
        <v>0</v>
      </c>
      <c r="H1692" s="228"/>
    </row>
    <row r="1693" spans="1:8" ht="17.100000000000001" customHeight="1" x14ac:dyDescent="0.25">
      <c r="A1693" s="248" t="s">
        <v>41</v>
      </c>
      <c r="E1693" s="208" t="s">
        <v>42</v>
      </c>
      <c r="F1693" s="208"/>
      <c r="G1693" s="208"/>
      <c r="H1693" s="370">
        <f>(SUM(G1683:G1692))</f>
        <v>208830</v>
      </c>
    </row>
    <row r="1694" spans="1:8" ht="17.100000000000001" customHeight="1" x14ac:dyDescent="0.25">
      <c r="A1694" s="206" t="s">
        <v>43</v>
      </c>
      <c r="B1694" s="704" t="s">
        <v>44</v>
      </c>
      <c r="C1694" s="704"/>
      <c r="D1694" s="704"/>
      <c r="E1694" s="704"/>
      <c r="F1694" s="704"/>
      <c r="G1694" s="704"/>
      <c r="H1694" s="228"/>
    </row>
    <row r="1695" spans="1:8" ht="17.100000000000001" customHeight="1" x14ac:dyDescent="0.25">
      <c r="A1695" s="199" t="s">
        <v>45</v>
      </c>
      <c r="B1695" s="225" t="s">
        <v>31</v>
      </c>
      <c r="C1695" s="225" t="s">
        <v>46</v>
      </c>
      <c r="D1695" s="225" t="s">
        <v>47</v>
      </c>
      <c r="E1695" s="209" t="s">
        <v>48</v>
      </c>
      <c r="F1695" s="207" t="s">
        <v>34</v>
      </c>
      <c r="G1695" s="207" t="s">
        <v>35</v>
      </c>
      <c r="H1695" s="228"/>
    </row>
    <row r="1696" spans="1:8" ht="17.100000000000001" customHeight="1" x14ac:dyDescent="0.25">
      <c r="A1696" s="199">
        <v>1</v>
      </c>
      <c r="B1696" s="199" t="s">
        <v>189</v>
      </c>
      <c r="C1696" s="211">
        <v>70000</v>
      </c>
      <c r="D1696" s="212">
        <v>0.75</v>
      </c>
      <c r="E1696" s="210">
        <f>+(A1696*C1696)+(A1696*C1696*D1696)</f>
        <v>122500</v>
      </c>
      <c r="F1696" s="213">
        <v>5</v>
      </c>
      <c r="G1696" s="218">
        <f>(E1696)/(F1696)</f>
        <v>24500</v>
      </c>
      <c r="H1696" s="228"/>
    </row>
    <row r="1697" spans="1:8" ht="17.100000000000001" customHeight="1" x14ac:dyDescent="0.25">
      <c r="A1697" s="199">
        <v>1</v>
      </c>
      <c r="B1697" s="199" t="s">
        <v>327</v>
      </c>
      <c r="C1697" s="211">
        <v>120000</v>
      </c>
      <c r="D1697" s="212">
        <v>0.75</v>
      </c>
      <c r="E1697" s="210">
        <f>+(A1697*C1697)+(A1697*C1697*D1697)</f>
        <v>210000</v>
      </c>
      <c r="F1697" s="213">
        <v>5</v>
      </c>
      <c r="G1697" s="218">
        <f>(E1697)/(F1697)</f>
        <v>42000</v>
      </c>
      <c r="H1697" s="228"/>
    </row>
    <row r="1698" spans="1:8" ht="17.100000000000001" customHeight="1" x14ac:dyDescent="0.25">
      <c r="A1698" s="199"/>
      <c r="B1698" s="199"/>
      <c r="C1698" s="199"/>
      <c r="D1698" s="199"/>
      <c r="E1698" s="207"/>
      <c r="F1698" s="207"/>
      <c r="G1698" s="207"/>
      <c r="H1698" s="228"/>
    </row>
    <row r="1699" spans="1:8" ht="17.100000000000001" customHeight="1" x14ac:dyDescent="0.25">
      <c r="A1699" s="248"/>
      <c r="E1699" s="208" t="s">
        <v>50</v>
      </c>
      <c r="F1699" s="208"/>
      <c r="G1699" s="208"/>
      <c r="H1699" s="453">
        <f>SUM(G1696)+(G1697)</f>
        <v>66500</v>
      </c>
    </row>
    <row r="1700" spans="1:8" ht="17.100000000000001" customHeight="1" x14ac:dyDescent="0.25">
      <c r="A1700" s="206" t="s">
        <v>51</v>
      </c>
      <c r="B1700" s="704" t="s">
        <v>18</v>
      </c>
      <c r="C1700" s="704"/>
      <c r="D1700" s="704"/>
      <c r="E1700" s="704"/>
      <c r="F1700" s="704"/>
      <c r="G1700" s="704"/>
      <c r="H1700" s="228"/>
    </row>
    <row r="1701" spans="1:8" ht="17.100000000000001" customHeight="1" x14ac:dyDescent="0.25">
      <c r="A1701" s="199"/>
      <c r="B1701" s="199" t="s">
        <v>31</v>
      </c>
      <c r="C1701" s="225" t="s">
        <v>12</v>
      </c>
      <c r="D1701" s="225" t="s">
        <v>13</v>
      </c>
      <c r="E1701" s="225" t="s">
        <v>52</v>
      </c>
      <c r="F1701" s="225"/>
      <c r="G1701" s="207" t="s">
        <v>53</v>
      </c>
      <c r="H1701" s="228"/>
    </row>
    <row r="1702" spans="1:8" ht="17.100000000000001" customHeight="1" x14ac:dyDescent="0.25">
      <c r="A1702" s="199"/>
      <c r="B1702" s="199"/>
      <c r="C1702" s="214"/>
      <c r="D1702" s="199"/>
      <c r="E1702" s="207"/>
      <c r="F1702" s="207"/>
      <c r="G1702" s="207"/>
      <c r="H1702" s="228"/>
    </row>
    <row r="1703" spans="1:8" ht="17.100000000000001" customHeight="1" x14ac:dyDescent="0.25">
      <c r="A1703" s="199"/>
      <c r="B1703" s="199"/>
      <c r="C1703" s="210"/>
      <c r="D1703" s="199"/>
      <c r="E1703" s="207"/>
      <c r="F1703" s="207"/>
      <c r="G1703" s="207"/>
      <c r="H1703" s="228"/>
    </row>
    <row r="1704" spans="1:8" ht="17.100000000000001" customHeight="1" x14ac:dyDescent="0.25">
      <c r="A1704" s="199"/>
      <c r="B1704" s="199"/>
      <c r="C1704" s="199"/>
      <c r="D1704" s="199"/>
      <c r="E1704" s="207"/>
      <c r="F1704" s="207"/>
      <c r="G1704" s="207"/>
      <c r="H1704" s="228"/>
    </row>
    <row r="1705" spans="1:8" ht="17.100000000000001" customHeight="1" x14ac:dyDescent="0.25">
      <c r="A1705" s="248"/>
      <c r="E1705" s="208" t="s">
        <v>50</v>
      </c>
      <c r="F1705" s="208"/>
      <c r="G1705" s="208"/>
      <c r="H1705" s="228">
        <f>ROUND(SUM(G1702)+(G1703),0)</f>
        <v>0</v>
      </c>
    </row>
    <row r="1706" spans="1:8" ht="17.100000000000001" customHeight="1" x14ac:dyDescent="0.25">
      <c r="A1706" s="247"/>
      <c r="E1706" s="208"/>
      <c r="F1706" s="208"/>
      <c r="G1706" s="208"/>
      <c r="H1706" s="228"/>
    </row>
    <row r="1707" spans="1:8" ht="17.100000000000001" customHeight="1" x14ac:dyDescent="0.25">
      <c r="A1707" s="247"/>
      <c r="D1707" s="215" t="s">
        <v>54</v>
      </c>
      <c r="E1707" s="216"/>
      <c r="F1707" s="216"/>
      <c r="G1707" s="216"/>
      <c r="H1707" s="453">
        <f>ROUND(SUM(H1680:H1706),2)</f>
        <v>281980</v>
      </c>
    </row>
    <row r="1708" spans="1:8" ht="17.100000000000001" customHeight="1" x14ac:dyDescent="0.25">
      <c r="A1708" s="247"/>
      <c r="E1708" s="208"/>
      <c r="F1708" s="208"/>
      <c r="G1708" s="208"/>
      <c r="H1708" s="228"/>
    </row>
    <row r="1709" spans="1:8" ht="17.100000000000001" customHeight="1" x14ac:dyDescent="0.25">
      <c r="A1709" s="206" t="s">
        <v>55</v>
      </c>
      <c r="B1709" s="704" t="s">
        <v>56</v>
      </c>
      <c r="C1709" s="704"/>
      <c r="D1709" s="704"/>
      <c r="E1709" s="704"/>
      <c r="F1709" s="704"/>
      <c r="G1709" s="704"/>
      <c r="H1709" s="228"/>
    </row>
    <row r="1710" spans="1:8" ht="17.100000000000001" customHeight="1" x14ac:dyDescent="0.25">
      <c r="A1710" s="225"/>
      <c r="B1710" s="225" t="s">
        <v>31</v>
      </c>
      <c r="C1710" s="225" t="s">
        <v>57</v>
      </c>
      <c r="D1710" s="199" t="s">
        <v>58</v>
      </c>
      <c r="E1710" s="207"/>
      <c r="F1710" s="207" t="s">
        <v>59</v>
      </c>
      <c r="G1710" s="207"/>
      <c r="H1710" s="228"/>
    </row>
    <row r="1711" spans="1:8" ht="17.100000000000001" customHeight="1" x14ac:dyDescent="0.25">
      <c r="A1711" s="199"/>
      <c r="B1711" s="225" t="s">
        <v>60</v>
      </c>
      <c r="C1711" s="212">
        <v>0.28000000000000003</v>
      </c>
      <c r="D1711" s="199"/>
      <c r="E1711" s="210"/>
      <c r="F1711" s="199"/>
      <c r="G1711" s="218">
        <f>+H1707*C1711</f>
        <v>78954.400000000009</v>
      </c>
      <c r="H1711" s="228"/>
    </row>
    <row r="1712" spans="1:8" ht="17.100000000000001" customHeight="1" x14ac:dyDescent="0.25">
      <c r="A1712" s="199"/>
      <c r="B1712" s="225" t="s">
        <v>61</v>
      </c>
      <c r="C1712" s="212">
        <v>0.01</v>
      </c>
      <c r="D1712" s="199"/>
      <c r="E1712" s="210"/>
      <c r="F1712" s="199"/>
      <c r="G1712" s="218">
        <f>+H1707*C1712</f>
        <v>2819.8</v>
      </c>
      <c r="H1712" s="228"/>
    </row>
    <row r="1713" spans="1:8" ht="17.100000000000001" customHeight="1" x14ac:dyDescent="0.25">
      <c r="A1713" s="199"/>
      <c r="B1713" s="225" t="s">
        <v>62</v>
      </c>
      <c r="C1713" s="212">
        <v>0.03</v>
      </c>
      <c r="D1713" s="199"/>
      <c r="E1713" s="210"/>
      <c r="F1713" s="199"/>
      <c r="G1713" s="218">
        <f>+H1707*C1713</f>
        <v>8459.4</v>
      </c>
      <c r="H1713" s="228"/>
    </row>
    <row r="1714" spans="1:8" ht="17.100000000000001" customHeight="1" x14ac:dyDescent="0.25">
      <c r="A1714" s="247"/>
      <c r="D1714" s="215" t="s">
        <v>63</v>
      </c>
      <c r="E1714" s="216"/>
      <c r="F1714" s="216"/>
      <c r="G1714" s="216"/>
      <c r="H1714" s="453">
        <f>SUM(G1710:G1713)</f>
        <v>90233.600000000006</v>
      </c>
    </row>
    <row r="1715" spans="1:8" ht="17.100000000000001" customHeight="1" x14ac:dyDescent="0.25">
      <c r="A1715" s="247"/>
      <c r="E1715" s="208"/>
      <c r="F1715" s="208"/>
      <c r="G1715" s="208"/>
      <c r="H1715" s="228"/>
    </row>
    <row r="1716" spans="1:8" ht="17.100000000000001" customHeight="1" x14ac:dyDescent="0.25">
      <c r="A1716" s="247"/>
      <c r="D1716" s="215" t="s">
        <v>64</v>
      </c>
      <c r="E1716" s="216"/>
      <c r="F1716" s="216"/>
      <c r="G1716" s="208"/>
      <c r="H1716" s="453">
        <f>H1707+H1714</f>
        <v>372213.6</v>
      </c>
    </row>
    <row r="1717" spans="1:8" ht="17.100000000000001" customHeight="1" x14ac:dyDescent="0.25">
      <c r="A1717" s="247"/>
      <c r="D1717" s="215"/>
      <c r="E1717" s="216"/>
      <c r="F1717" s="216"/>
      <c r="G1717" s="208"/>
      <c r="H1717" s="228"/>
    </row>
    <row r="1718" spans="1:8" ht="17.100000000000001" customHeight="1" x14ac:dyDescent="0.25">
      <c r="A1718" s="205"/>
      <c r="B1718" s="204"/>
      <c r="E1718" s="219"/>
      <c r="F1718" s="220"/>
      <c r="G1718" s="203"/>
      <c r="H1718" s="228"/>
    </row>
    <row r="1719" spans="1:8" ht="17.100000000000001" customHeight="1" x14ac:dyDescent="0.25">
      <c r="A1719" s="249" t="str">
        <f>+A1657</f>
        <v>ING JHON ALEXANDER ARIAS</v>
      </c>
      <c r="B1719" s="217"/>
      <c r="E1719" s="216" t="str">
        <f>+E1657</f>
        <v>ARQ. GUILLERMO YAMID VALLEJOS BENAVIDES</v>
      </c>
      <c r="F1719" s="208"/>
      <c r="G1719" s="208"/>
      <c r="H1719" s="228"/>
    </row>
    <row r="1720" spans="1:8" ht="17.100000000000001" customHeight="1" x14ac:dyDescent="0.25">
      <c r="A1720" s="250" t="str">
        <f>+A1658</f>
        <v>APOYO PROFESIONAL SPOPM</v>
      </c>
      <c r="B1720" s="217"/>
      <c r="E1720" s="208" t="str">
        <f t="shared" ref="E1720:E1721" si="39">+E1658</f>
        <v>SECRETARIO DE PLANEACION Y OBRAS PUBLICAS</v>
      </c>
      <c r="F1720" s="208"/>
      <c r="G1720" s="208"/>
      <c r="H1720" s="228"/>
    </row>
    <row r="1721" spans="1:8" ht="17.100000000000001" customHeight="1" x14ac:dyDescent="0.25">
      <c r="A1721" s="250" t="str">
        <f>+A1659</f>
        <v>MP 111037-0703225 NRÑ</v>
      </c>
      <c r="B1721" s="580"/>
      <c r="C1721" s="579"/>
      <c r="D1721" s="579"/>
      <c r="E1721" s="581" t="str">
        <f t="shared" si="39"/>
        <v>SAN MIGUEL - PUTUMAYO</v>
      </c>
      <c r="F1721" s="581"/>
      <c r="G1721" s="581"/>
      <c r="H1721" s="581"/>
    </row>
  </sheetData>
  <mergeCells count="844">
    <mergeCell ref="B242:F242"/>
    <mergeCell ref="B244:G244"/>
    <mergeCell ref="B256:C256"/>
    <mergeCell ref="A582:H583"/>
    <mergeCell ref="B584:F584"/>
    <mergeCell ref="B586:G586"/>
    <mergeCell ref="D524:E525"/>
    <mergeCell ref="A630:B635"/>
    <mergeCell ref="C630:C631"/>
    <mergeCell ref="D630:E630"/>
    <mergeCell ref="B533:C533"/>
    <mergeCell ref="B273:G273"/>
    <mergeCell ref="B534:C534"/>
    <mergeCell ref="B535:C535"/>
    <mergeCell ref="B537:G537"/>
    <mergeCell ref="B538:C538"/>
    <mergeCell ref="B371:C371"/>
    <mergeCell ref="A411:H411"/>
    <mergeCell ref="A412:H413"/>
    <mergeCell ref="A468:H468"/>
    <mergeCell ref="A469:H470"/>
    <mergeCell ref="A472:H472"/>
    <mergeCell ref="B474:F474"/>
    <mergeCell ref="A462:B467"/>
    <mergeCell ref="G230:H235"/>
    <mergeCell ref="D231:E232"/>
    <mergeCell ref="F231:F232"/>
    <mergeCell ref="D233:E233"/>
    <mergeCell ref="C234:C235"/>
    <mergeCell ref="D234:E235"/>
    <mergeCell ref="A236:H236"/>
    <mergeCell ref="A237:H238"/>
    <mergeCell ref="A240:H240"/>
    <mergeCell ref="B245:C245"/>
    <mergeCell ref="B246:C246"/>
    <mergeCell ref="B247:C247"/>
    <mergeCell ref="B248:C248"/>
    <mergeCell ref="B250:G250"/>
    <mergeCell ref="B251:C251"/>
    <mergeCell ref="B264:G264"/>
    <mergeCell ref="B255:C255"/>
    <mergeCell ref="B192:C192"/>
    <mergeCell ref="B193:C193"/>
    <mergeCell ref="B258:G258"/>
    <mergeCell ref="B199:G199"/>
    <mergeCell ref="B205:G205"/>
    <mergeCell ref="B194:C194"/>
    <mergeCell ref="B195:C195"/>
    <mergeCell ref="B196:C196"/>
    <mergeCell ref="B197:C197"/>
    <mergeCell ref="B252:C252"/>
    <mergeCell ref="B253:C253"/>
    <mergeCell ref="B254:C254"/>
    <mergeCell ref="B214:G214"/>
    <mergeCell ref="A230:B235"/>
    <mergeCell ref="C230:C231"/>
    <mergeCell ref="D230:E230"/>
    <mergeCell ref="B25:C25"/>
    <mergeCell ref="B26:C26"/>
    <mergeCell ref="B27:C27"/>
    <mergeCell ref="B29:G29"/>
    <mergeCell ref="B35:G35"/>
    <mergeCell ref="A116:B121"/>
    <mergeCell ref="C116:C117"/>
    <mergeCell ref="A180:H180"/>
    <mergeCell ref="A181:H182"/>
    <mergeCell ref="B128:F128"/>
    <mergeCell ref="B130:G130"/>
    <mergeCell ref="B131:C131"/>
    <mergeCell ref="B132:C132"/>
    <mergeCell ref="B133:C133"/>
    <mergeCell ref="B134:C134"/>
    <mergeCell ref="B136:G136"/>
    <mergeCell ref="B137:C137"/>
    <mergeCell ref="B83:C83"/>
    <mergeCell ref="B84:C84"/>
    <mergeCell ref="B86:G86"/>
    <mergeCell ref="B92:G92"/>
    <mergeCell ref="B101:G101"/>
    <mergeCell ref="B183:F183"/>
    <mergeCell ref="B185:G185"/>
    <mergeCell ref="B186:C186"/>
    <mergeCell ref="B187:C187"/>
    <mergeCell ref="C120:C121"/>
    <mergeCell ref="D120:E121"/>
    <mergeCell ref="A122:H122"/>
    <mergeCell ref="A123:H124"/>
    <mergeCell ref="A126:H126"/>
    <mergeCell ref="B138:C138"/>
    <mergeCell ref="B139:C139"/>
    <mergeCell ref="B140:C140"/>
    <mergeCell ref="B142:C142"/>
    <mergeCell ref="B144:G144"/>
    <mergeCell ref="B150:G150"/>
    <mergeCell ref="B159:G159"/>
    <mergeCell ref="A174:B179"/>
    <mergeCell ref="C174:C175"/>
    <mergeCell ref="D174:E174"/>
    <mergeCell ref="G174:H179"/>
    <mergeCell ref="D175:E176"/>
    <mergeCell ref="F175:F176"/>
    <mergeCell ref="D177:E177"/>
    <mergeCell ref="C178:C179"/>
    <mergeCell ref="A1:B6"/>
    <mergeCell ref="C1:C2"/>
    <mergeCell ref="D1:E1"/>
    <mergeCell ref="G1:H6"/>
    <mergeCell ref="D2:E3"/>
    <mergeCell ref="F2:F3"/>
    <mergeCell ref="D4:E4"/>
    <mergeCell ref="C5:C6"/>
    <mergeCell ref="D5:E6"/>
    <mergeCell ref="B188:C188"/>
    <mergeCell ref="B189:C189"/>
    <mergeCell ref="B191:G191"/>
    <mergeCell ref="A7:H7"/>
    <mergeCell ref="A8:H9"/>
    <mergeCell ref="A11:H11"/>
    <mergeCell ref="B13:F13"/>
    <mergeCell ref="B15:G15"/>
    <mergeCell ref="B16:C16"/>
    <mergeCell ref="B17:C17"/>
    <mergeCell ref="D178:E179"/>
    <mergeCell ref="B19:C19"/>
    <mergeCell ref="B44:G44"/>
    <mergeCell ref="B21:G21"/>
    <mergeCell ref="B22:C22"/>
    <mergeCell ref="B23:C23"/>
    <mergeCell ref="B24:C24"/>
    <mergeCell ref="B18:C18"/>
    <mergeCell ref="F117:F118"/>
    <mergeCell ref="D119:E119"/>
    <mergeCell ref="D116:E116"/>
    <mergeCell ref="G116:H121"/>
    <mergeCell ref="D117:E118"/>
    <mergeCell ref="B141:C141"/>
    <mergeCell ref="G630:H635"/>
    <mergeCell ref="D631:E632"/>
    <mergeCell ref="F631:F632"/>
    <mergeCell ref="D633:E633"/>
    <mergeCell ref="C634:C635"/>
    <mergeCell ref="D634:E635"/>
    <mergeCell ref="B539:C539"/>
    <mergeCell ref="B540:C540"/>
    <mergeCell ref="B541:C541"/>
    <mergeCell ref="B542:C542"/>
    <mergeCell ref="B543:C543"/>
    <mergeCell ref="A581:H581"/>
    <mergeCell ref="B587:C587"/>
    <mergeCell ref="B545:G545"/>
    <mergeCell ref="B551:G551"/>
    <mergeCell ref="B560:G560"/>
    <mergeCell ref="A575:B580"/>
    <mergeCell ref="C575:C576"/>
    <mergeCell ref="D575:E575"/>
    <mergeCell ref="G575:H580"/>
    <mergeCell ref="D576:E577"/>
    <mergeCell ref="F576:F577"/>
    <mergeCell ref="C579:C580"/>
    <mergeCell ref="D578:E578"/>
    <mergeCell ref="D465:E465"/>
    <mergeCell ref="C466:C467"/>
    <mergeCell ref="D521:E522"/>
    <mergeCell ref="F521:F522"/>
    <mergeCell ref="B360:C360"/>
    <mergeCell ref="A351:H351"/>
    <mergeCell ref="A352:H353"/>
    <mergeCell ref="A355:H355"/>
    <mergeCell ref="B357:F357"/>
    <mergeCell ref="B359:G359"/>
    <mergeCell ref="B367:C367"/>
    <mergeCell ref="B368:C368"/>
    <mergeCell ref="B369:C369"/>
    <mergeCell ref="B361:C361"/>
    <mergeCell ref="B425:G425"/>
    <mergeCell ref="B426:C426"/>
    <mergeCell ref="B427:C427"/>
    <mergeCell ref="B428:C428"/>
    <mergeCell ref="B487:C487"/>
    <mergeCell ref="B488:C488"/>
    <mergeCell ref="B490:G490"/>
    <mergeCell ref="G462:H467"/>
    <mergeCell ref="A405:B410"/>
    <mergeCell ref="C405:C406"/>
    <mergeCell ref="B532:C532"/>
    <mergeCell ref="B362:C362"/>
    <mergeCell ref="B363:C363"/>
    <mergeCell ref="B365:G365"/>
    <mergeCell ref="B366:C366"/>
    <mergeCell ref="B373:G373"/>
    <mergeCell ref="B379:G379"/>
    <mergeCell ref="B388:G388"/>
    <mergeCell ref="B370:C370"/>
    <mergeCell ref="B448:G448"/>
    <mergeCell ref="C462:C463"/>
    <mergeCell ref="D462:E462"/>
    <mergeCell ref="D463:E464"/>
    <mergeCell ref="F463:F464"/>
    <mergeCell ref="D405:E405"/>
    <mergeCell ref="G405:H410"/>
    <mergeCell ref="D406:E407"/>
    <mergeCell ref="F406:F407"/>
    <mergeCell ref="D408:E408"/>
    <mergeCell ref="C409:C410"/>
    <mergeCell ref="D409:E410"/>
    <mergeCell ref="B429:C429"/>
    <mergeCell ref="B430:C430"/>
    <mergeCell ref="B431:C431"/>
    <mergeCell ref="A345:B350"/>
    <mergeCell ref="C345:C346"/>
    <mergeCell ref="D345:E345"/>
    <mergeCell ref="G345:H350"/>
    <mergeCell ref="D346:E347"/>
    <mergeCell ref="F346:F347"/>
    <mergeCell ref="D348:E348"/>
    <mergeCell ref="C349:C350"/>
    <mergeCell ref="D349:E350"/>
    <mergeCell ref="A526:H526"/>
    <mergeCell ref="A527:H528"/>
    <mergeCell ref="B529:F529"/>
    <mergeCell ref="B496:G496"/>
    <mergeCell ref="B505:G505"/>
    <mergeCell ref="B482:G482"/>
    <mergeCell ref="B483:C483"/>
    <mergeCell ref="B484:C484"/>
    <mergeCell ref="B485:C485"/>
    <mergeCell ref="A520:B525"/>
    <mergeCell ref="C520:C521"/>
    <mergeCell ref="D688:E688"/>
    <mergeCell ref="C689:C690"/>
    <mergeCell ref="D689:E690"/>
    <mergeCell ref="D579:E580"/>
    <mergeCell ref="A415:H415"/>
    <mergeCell ref="D520:E520"/>
    <mergeCell ref="G520:H525"/>
    <mergeCell ref="B417:F417"/>
    <mergeCell ref="B419:G419"/>
    <mergeCell ref="B420:C420"/>
    <mergeCell ref="B421:C421"/>
    <mergeCell ref="B422:C422"/>
    <mergeCell ref="B423:C423"/>
    <mergeCell ref="D466:E467"/>
    <mergeCell ref="B486:C486"/>
    <mergeCell ref="B476:G476"/>
    <mergeCell ref="B477:C477"/>
    <mergeCell ref="B478:C478"/>
    <mergeCell ref="B479:C479"/>
    <mergeCell ref="B480:C480"/>
    <mergeCell ref="D523:E523"/>
    <mergeCell ref="C524:C525"/>
    <mergeCell ref="B433:G433"/>
    <mergeCell ref="B439:G439"/>
    <mergeCell ref="B600:G600"/>
    <mergeCell ref="B606:G606"/>
    <mergeCell ref="B615:G615"/>
    <mergeCell ref="B594:C594"/>
    <mergeCell ref="B595:C595"/>
    <mergeCell ref="B596:C596"/>
    <mergeCell ref="B597:C597"/>
    <mergeCell ref="B598:C598"/>
    <mergeCell ref="B588:C588"/>
    <mergeCell ref="B589:C589"/>
    <mergeCell ref="B590:C590"/>
    <mergeCell ref="B592:G592"/>
    <mergeCell ref="B593:C593"/>
    <mergeCell ref="B531:G531"/>
    <mergeCell ref="B725:G725"/>
    <mergeCell ref="A691:H691"/>
    <mergeCell ref="A692:H693"/>
    <mergeCell ref="B694:F694"/>
    <mergeCell ref="B696:G696"/>
    <mergeCell ref="B697:C697"/>
    <mergeCell ref="B698:C698"/>
    <mergeCell ref="B699:C699"/>
    <mergeCell ref="B700:C700"/>
    <mergeCell ref="B702:G702"/>
    <mergeCell ref="B716:G716"/>
    <mergeCell ref="B706:C706"/>
    <mergeCell ref="B707:C707"/>
    <mergeCell ref="B708:C708"/>
    <mergeCell ref="B710:G710"/>
    <mergeCell ref="A636:H636"/>
    <mergeCell ref="A637:H638"/>
    <mergeCell ref="B639:F639"/>
    <mergeCell ref="B641:G641"/>
    <mergeCell ref="B642:C642"/>
    <mergeCell ref="B643:C643"/>
    <mergeCell ref="B644:C644"/>
    <mergeCell ref="B645:C645"/>
    <mergeCell ref="B759:C759"/>
    <mergeCell ref="B760:C760"/>
    <mergeCell ref="B761:C761"/>
    <mergeCell ref="B762:C762"/>
    <mergeCell ref="B763:C763"/>
    <mergeCell ref="B647:G647"/>
    <mergeCell ref="B648:C648"/>
    <mergeCell ref="B649:C649"/>
    <mergeCell ref="B650:C650"/>
    <mergeCell ref="B651:C651"/>
    <mergeCell ref="B652:C652"/>
    <mergeCell ref="B653:C653"/>
    <mergeCell ref="B703:C703"/>
    <mergeCell ref="B704:C704"/>
    <mergeCell ref="B705:C705"/>
    <mergeCell ref="B655:G655"/>
    <mergeCell ref="B661:G661"/>
    <mergeCell ref="B670:G670"/>
    <mergeCell ref="A685:B690"/>
    <mergeCell ref="C685:C686"/>
    <mergeCell ref="D685:E685"/>
    <mergeCell ref="G685:H690"/>
    <mergeCell ref="D686:E687"/>
    <mergeCell ref="F686:F687"/>
    <mergeCell ref="A747:H747"/>
    <mergeCell ref="A748:H749"/>
    <mergeCell ref="B750:F750"/>
    <mergeCell ref="B752:G752"/>
    <mergeCell ref="B753:C753"/>
    <mergeCell ref="B754:C754"/>
    <mergeCell ref="B755:C755"/>
    <mergeCell ref="B756:C756"/>
    <mergeCell ref="B758:G758"/>
    <mergeCell ref="A741:B746"/>
    <mergeCell ref="C741:C742"/>
    <mergeCell ref="D741:E741"/>
    <mergeCell ref="G741:H746"/>
    <mergeCell ref="D742:E743"/>
    <mergeCell ref="F742:F743"/>
    <mergeCell ref="D744:E744"/>
    <mergeCell ref="C745:C746"/>
    <mergeCell ref="D745:E746"/>
    <mergeCell ref="B764:C764"/>
    <mergeCell ref="B765:C765"/>
    <mergeCell ref="B766:C766"/>
    <mergeCell ref="B767:C767"/>
    <mergeCell ref="B769:G769"/>
    <mergeCell ref="B775:G775"/>
    <mergeCell ref="B784:G784"/>
    <mergeCell ref="A800:B805"/>
    <mergeCell ref="C800:C801"/>
    <mergeCell ref="D800:E800"/>
    <mergeCell ref="G800:H805"/>
    <mergeCell ref="D801:E802"/>
    <mergeCell ref="F801:F802"/>
    <mergeCell ref="D803:E803"/>
    <mergeCell ref="C804:C805"/>
    <mergeCell ref="D804:E805"/>
    <mergeCell ref="A806:H806"/>
    <mergeCell ref="A807:H808"/>
    <mergeCell ref="B809:F809"/>
    <mergeCell ref="B811:G811"/>
    <mergeCell ref="B812:C812"/>
    <mergeCell ref="B813:C813"/>
    <mergeCell ref="B814:C814"/>
    <mergeCell ref="B815:C815"/>
    <mergeCell ref="B817:G817"/>
    <mergeCell ref="A864:H864"/>
    <mergeCell ref="A865:H866"/>
    <mergeCell ref="B867:F867"/>
    <mergeCell ref="B869:G869"/>
    <mergeCell ref="B870:C870"/>
    <mergeCell ref="B871:C871"/>
    <mergeCell ref="B876:C876"/>
    <mergeCell ref="B877:C877"/>
    <mergeCell ref="B900:G900"/>
    <mergeCell ref="B872:C872"/>
    <mergeCell ref="B873:C873"/>
    <mergeCell ref="B875:G875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D862:E863"/>
    <mergeCell ref="B827:G827"/>
    <mergeCell ref="B833:G833"/>
    <mergeCell ref="B842:G842"/>
    <mergeCell ref="A858:B863"/>
    <mergeCell ref="C858:C859"/>
    <mergeCell ref="D858:E858"/>
    <mergeCell ref="G858:H863"/>
    <mergeCell ref="D859:E860"/>
    <mergeCell ref="F859:F860"/>
    <mergeCell ref="D861:E861"/>
    <mergeCell ref="C862:C863"/>
    <mergeCell ref="B1002:G1002"/>
    <mergeCell ref="B1011:G1011"/>
    <mergeCell ref="B879:C879"/>
    <mergeCell ref="B880:C880"/>
    <mergeCell ref="B881:C881"/>
    <mergeCell ref="B882:C882"/>
    <mergeCell ref="B883:C883"/>
    <mergeCell ref="B885:G885"/>
    <mergeCell ref="B891:G891"/>
    <mergeCell ref="A916:B921"/>
    <mergeCell ref="C916:C917"/>
    <mergeCell ref="D916:E916"/>
    <mergeCell ref="G916:H921"/>
    <mergeCell ref="D917:E918"/>
    <mergeCell ref="F917:F918"/>
    <mergeCell ref="D919:E919"/>
    <mergeCell ref="C920:C921"/>
    <mergeCell ref="D920:E921"/>
    <mergeCell ref="A922:H922"/>
    <mergeCell ref="A923:H924"/>
    <mergeCell ref="B925:F925"/>
    <mergeCell ref="B927:G927"/>
    <mergeCell ref="B928:C928"/>
    <mergeCell ref="B929:C929"/>
    <mergeCell ref="B1063:G1063"/>
    <mergeCell ref="B1072:G1072"/>
    <mergeCell ref="B878:C878"/>
    <mergeCell ref="B1037:F1037"/>
    <mergeCell ref="B1039:G1039"/>
    <mergeCell ref="B1040:C1040"/>
    <mergeCell ref="B1041:C1041"/>
    <mergeCell ref="B1042:C1042"/>
    <mergeCell ref="B1046:C1046"/>
    <mergeCell ref="B1049:C1049"/>
    <mergeCell ref="B1048:G1048"/>
    <mergeCell ref="A1028:B1033"/>
    <mergeCell ref="C1028:C1029"/>
    <mergeCell ref="D1028:E1028"/>
    <mergeCell ref="G1028:H1033"/>
    <mergeCell ref="D1029:E1030"/>
    <mergeCell ref="F1029:F1030"/>
    <mergeCell ref="D1031:E1031"/>
    <mergeCell ref="C1032:C1033"/>
    <mergeCell ref="D1032:E1033"/>
    <mergeCell ref="B1043:C1043"/>
    <mergeCell ref="B1044:C1044"/>
    <mergeCell ref="B1045:C1045"/>
    <mergeCell ref="B996:G996"/>
    <mergeCell ref="A1153:H1153"/>
    <mergeCell ref="A1093:H1093"/>
    <mergeCell ref="A1094:H1095"/>
    <mergeCell ref="B1096:F1096"/>
    <mergeCell ref="B1098:G1098"/>
    <mergeCell ref="B1099:C1099"/>
    <mergeCell ref="B1100:C1100"/>
    <mergeCell ref="B1101:C1101"/>
    <mergeCell ref="B1102:C1102"/>
    <mergeCell ref="B1104:G1104"/>
    <mergeCell ref="B1105:C1105"/>
    <mergeCell ref="B1106:C1106"/>
    <mergeCell ref="B1107:C1107"/>
    <mergeCell ref="B1108:C1108"/>
    <mergeCell ref="B1109:C1109"/>
    <mergeCell ref="B1110:C1110"/>
    <mergeCell ref="B1111:C1111"/>
    <mergeCell ref="B1113:G1113"/>
    <mergeCell ref="B1119:G1119"/>
    <mergeCell ref="B1128:G1128"/>
    <mergeCell ref="A1149:H1149"/>
    <mergeCell ref="A1150:H1151"/>
    <mergeCell ref="C1143:C1144"/>
    <mergeCell ref="A1264:H1264"/>
    <mergeCell ref="A1265:H1266"/>
    <mergeCell ref="A1268:H1268"/>
    <mergeCell ref="B1270:F1270"/>
    <mergeCell ref="A1200:B1205"/>
    <mergeCell ref="C1200:C1201"/>
    <mergeCell ref="D1200:E1200"/>
    <mergeCell ref="G1200:H1205"/>
    <mergeCell ref="F1259:F1260"/>
    <mergeCell ref="D1261:E1261"/>
    <mergeCell ref="D1201:E1202"/>
    <mergeCell ref="F1201:F1202"/>
    <mergeCell ref="D1203:E1203"/>
    <mergeCell ref="C1204:C1205"/>
    <mergeCell ref="D1204:E1205"/>
    <mergeCell ref="B1228:G1228"/>
    <mergeCell ref="B1234:G1234"/>
    <mergeCell ref="B1243:G1243"/>
    <mergeCell ref="A1258:B1263"/>
    <mergeCell ref="C1258:C1259"/>
    <mergeCell ref="D1258:E1258"/>
    <mergeCell ref="G1258:H1263"/>
    <mergeCell ref="D1259:E1260"/>
    <mergeCell ref="B1220:G1220"/>
    <mergeCell ref="B1221:C1221"/>
    <mergeCell ref="B1222:C1222"/>
    <mergeCell ref="B1223:C1223"/>
    <mergeCell ref="B1224:C1224"/>
    <mergeCell ref="B1225:C1225"/>
    <mergeCell ref="B1226:C1226"/>
    <mergeCell ref="C1262:C1263"/>
    <mergeCell ref="D1262:E1263"/>
    <mergeCell ref="A1206:H1206"/>
    <mergeCell ref="A1207:H1208"/>
    <mergeCell ref="A1210:H1210"/>
    <mergeCell ref="B1212:F1212"/>
    <mergeCell ref="B1214:G1214"/>
    <mergeCell ref="B1215:C1215"/>
    <mergeCell ref="B1216:C1216"/>
    <mergeCell ref="B1217:C1217"/>
    <mergeCell ref="B1218:C1218"/>
    <mergeCell ref="B1272:G1272"/>
    <mergeCell ref="B1273:C1273"/>
    <mergeCell ref="B1274:C1274"/>
    <mergeCell ref="B1278:G1278"/>
    <mergeCell ref="B1279:C1279"/>
    <mergeCell ref="B1280:C1280"/>
    <mergeCell ref="B1281:C1281"/>
    <mergeCell ref="B1282:C1282"/>
    <mergeCell ref="B1283:C1283"/>
    <mergeCell ref="B1275:C1275"/>
    <mergeCell ref="B1276:C1276"/>
    <mergeCell ref="B1284:C1284"/>
    <mergeCell ref="B1286:G1286"/>
    <mergeCell ref="B1292:G1292"/>
    <mergeCell ref="B1301:G1301"/>
    <mergeCell ref="B1459:G1459"/>
    <mergeCell ref="C1319:C1320"/>
    <mergeCell ref="D1319:E1320"/>
    <mergeCell ref="A1321:H1321"/>
    <mergeCell ref="A1322:H1323"/>
    <mergeCell ref="A1325:H1325"/>
    <mergeCell ref="B1327:F1327"/>
    <mergeCell ref="B1329:G1329"/>
    <mergeCell ref="B1391:C1391"/>
    <mergeCell ref="B1393:G1393"/>
    <mergeCell ref="B1394:C1394"/>
    <mergeCell ref="B1395:C1395"/>
    <mergeCell ref="B1396:C1396"/>
    <mergeCell ref="B1397:C1397"/>
    <mergeCell ref="B1398:C1398"/>
    <mergeCell ref="B1399:C1399"/>
    <mergeCell ref="B1340:C1340"/>
    <mergeCell ref="B1341:C1341"/>
    <mergeCell ref="B1332:C1332"/>
    <mergeCell ref="B1333:C1333"/>
    <mergeCell ref="B1335:G1335"/>
    <mergeCell ref="B1336:C1336"/>
    <mergeCell ref="B1337:C1337"/>
    <mergeCell ref="B1338:C1338"/>
    <mergeCell ref="B1339:C1339"/>
    <mergeCell ref="A1315:B1320"/>
    <mergeCell ref="C1315:C1316"/>
    <mergeCell ref="D1315:E1315"/>
    <mergeCell ref="G1315:H1320"/>
    <mergeCell ref="D1316:E1317"/>
    <mergeCell ref="F1316:F1317"/>
    <mergeCell ref="D1318:E1318"/>
    <mergeCell ref="B1330:C1330"/>
    <mergeCell ref="B1331:C1331"/>
    <mergeCell ref="B1401:G1401"/>
    <mergeCell ref="B1407:G1407"/>
    <mergeCell ref="B1416:G1416"/>
    <mergeCell ref="B1385:F1385"/>
    <mergeCell ref="B1387:G1387"/>
    <mergeCell ref="B1388:C1388"/>
    <mergeCell ref="B1389:C1389"/>
    <mergeCell ref="G1373:H1378"/>
    <mergeCell ref="D1374:E1375"/>
    <mergeCell ref="B1343:G1343"/>
    <mergeCell ref="B1349:G1349"/>
    <mergeCell ref="F1374:F1375"/>
    <mergeCell ref="D1376:E1376"/>
    <mergeCell ref="C1377:C1378"/>
    <mergeCell ref="D1377:E1378"/>
    <mergeCell ref="A1379:H1379"/>
    <mergeCell ref="A1380:H1381"/>
    <mergeCell ref="A1383:H1383"/>
    <mergeCell ref="B1358:G1358"/>
    <mergeCell ref="A1373:B1378"/>
    <mergeCell ref="C1373:C1374"/>
    <mergeCell ref="D1373:E1373"/>
    <mergeCell ref="A1441:H1441"/>
    <mergeCell ref="B1443:F1443"/>
    <mergeCell ref="B1445:G1445"/>
    <mergeCell ref="B1510:C1510"/>
    <mergeCell ref="B1511:C1511"/>
    <mergeCell ref="B1512:C1512"/>
    <mergeCell ref="B1453:C1453"/>
    <mergeCell ref="B1454:C1454"/>
    <mergeCell ref="B1455:C1455"/>
    <mergeCell ref="B1456:C1456"/>
    <mergeCell ref="B1457:C1457"/>
    <mergeCell ref="B1506:C1506"/>
    <mergeCell ref="B1508:G1508"/>
    <mergeCell ref="B1509:C1509"/>
    <mergeCell ref="B1465:G1465"/>
    <mergeCell ref="B1446:C1446"/>
    <mergeCell ref="B1447:C1447"/>
    <mergeCell ref="B1448:C1448"/>
    <mergeCell ref="B1449:C1449"/>
    <mergeCell ref="B1572:C1572"/>
    <mergeCell ref="B1574:G1574"/>
    <mergeCell ref="A1552:H1552"/>
    <mergeCell ref="B1558:F1558"/>
    <mergeCell ref="B1390:C1390"/>
    <mergeCell ref="A1498:H1498"/>
    <mergeCell ref="B1500:F1500"/>
    <mergeCell ref="B1502:G1502"/>
    <mergeCell ref="B1503:C1503"/>
    <mergeCell ref="B1504:C1504"/>
    <mergeCell ref="B1505:C1505"/>
    <mergeCell ref="A1431:B1436"/>
    <mergeCell ref="C1431:C1432"/>
    <mergeCell ref="D1431:E1431"/>
    <mergeCell ref="G1431:H1436"/>
    <mergeCell ref="D1432:E1433"/>
    <mergeCell ref="F1432:F1433"/>
    <mergeCell ref="D1434:E1434"/>
    <mergeCell ref="C1435:C1436"/>
    <mergeCell ref="D1435:E1436"/>
    <mergeCell ref="B1451:G1451"/>
    <mergeCell ref="B1452:C1452"/>
    <mergeCell ref="A1437:H1437"/>
    <mergeCell ref="A1438:H1439"/>
    <mergeCell ref="G1546:H1551"/>
    <mergeCell ref="D1547:E1548"/>
    <mergeCell ref="F1547:F1548"/>
    <mergeCell ref="D1549:E1549"/>
    <mergeCell ref="C1550:C1551"/>
    <mergeCell ref="B1589:G1589"/>
    <mergeCell ref="A1546:B1551"/>
    <mergeCell ref="C1546:C1547"/>
    <mergeCell ref="D1546:E1546"/>
    <mergeCell ref="B1561:C1561"/>
    <mergeCell ref="B1562:C1562"/>
    <mergeCell ref="B1563:C1563"/>
    <mergeCell ref="B1564:C1564"/>
    <mergeCell ref="B1560:G1560"/>
    <mergeCell ref="B1580:G1580"/>
    <mergeCell ref="A1553:H1554"/>
    <mergeCell ref="A1556:H1556"/>
    <mergeCell ref="D1550:E1551"/>
    <mergeCell ref="B1566:G1566"/>
    <mergeCell ref="B1567:C1567"/>
    <mergeCell ref="B1568:C1568"/>
    <mergeCell ref="B1569:C1569"/>
    <mergeCell ref="B1570:C1570"/>
    <mergeCell ref="B1571:C1571"/>
    <mergeCell ref="B930:C930"/>
    <mergeCell ref="B931:C931"/>
    <mergeCell ref="B933:G933"/>
    <mergeCell ref="B934:C934"/>
    <mergeCell ref="B935:C935"/>
    <mergeCell ref="B936:C936"/>
    <mergeCell ref="B1050:C1050"/>
    <mergeCell ref="B1051:C1051"/>
    <mergeCell ref="B937:C937"/>
    <mergeCell ref="B982:G982"/>
    <mergeCell ref="B983:C983"/>
    <mergeCell ref="B984:C984"/>
    <mergeCell ref="B985:C985"/>
    <mergeCell ref="B986:C986"/>
    <mergeCell ref="B994:C994"/>
    <mergeCell ref="B938:C938"/>
    <mergeCell ref="B939:C939"/>
    <mergeCell ref="B941:G941"/>
    <mergeCell ref="B947:G947"/>
    <mergeCell ref="B956:G956"/>
    <mergeCell ref="A971:B976"/>
    <mergeCell ref="C971:C972"/>
    <mergeCell ref="D971:E971"/>
    <mergeCell ref="G971:H976"/>
    <mergeCell ref="D972:E973"/>
    <mergeCell ref="F972:F973"/>
    <mergeCell ref="D974:E974"/>
    <mergeCell ref="C975:C976"/>
    <mergeCell ref="D975:E976"/>
    <mergeCell ref="B988:G988"/>
    <mergeCell ref="B991:C991"/>
    <mergeCell ref="B992:C992"/>
    <mergeCell ref="A977:H977"/>
    <mergeCell ref="A978:H979"/>
    <mergeCell ref="B980:F980"/>
    <mergeCell ref="B989:C989"/>
    <mergeCell ref="B990:C990"/>
    <mergeCell ref="B993:C993"/>
    <mergeCell ref="D1143:E1143"/>
    <mergeCell ref="G1143:H1148"/>
    <mergeCell ref="D1144:E1145"/>
    <mergeCell ref="F1144:F1145"/>
    <mergeCell ref="D1146:E1146"/>
    <mergeCell ref="C1147:C1148"/>
    <mergeCell ref="D1147:E1148"/>
    <mergeCell ref="A1087:B1092"/>
    <mergeCell ref="C1087:C1088"/>
    <mergeCell ref="D1087:E1087"/>
    <mergeCell ref="G1087:H1092"/>
    <mergeCell ref="D1088:E1089"/>
    <mergeCell ref="F1088:F1089"/>
    <mergeCell ref="D1090:E1090"/>
    <mergeCell ref="C1091:C1092"/>
    <mergeCell ref="D1091:E1092"/>
    <mergeCell ref="A1034:H1036"/>
    <mergeCell ref="A1143:B1148"/>
    <mergeCell ref="B1052:C1052"/>
    <mergeCell ref="B1053:C1053"/>
    <mergeCell ref="B1054:C1054"/>
    <mergeCell ref="B1055:C1055"/>
    <mergeCell ref="B1057:G1057"/>
    <mergeCell ref="B1155:F1155"/>
    <mergeCell ref="B1157:G1157"/>
    <mergeCell ref="B1158:C1158"/>
    <mergeCell ref="B1159:C1159"/>
    <mergeCell ref="B1160:C1160"/>
    <mergeCell ref="B1161:C1161"/>
    <mergeCell ref="B1163:G1163"/>
    <mergeCell ref="B1164:C1164"/>
    <mergeCell ref="B1165:C1165"/>
    <mergeCell ref="B1513:C1513"/>
    <mergeCell ref="B1514:C1514"/>
    <mergeCell ref="B1516:G1516"/>
    <mergeCell ref="B1522:G1522"/>
    <mergeCell ref="B1531:G1531"/>
    <mergeCell ref="B1166:C1166"/>
    <mergeCell ref="B1167:C1167"/>
    <mergeCell ref="B1168:C1168"/>
    <mergeCell ref="B1169:C1169"/>
    <mergeCell ref="B1171:G1171"/>
    <mergeCell ref="B1177:G1177"/>
    <mergeCell ref="B1186:G1186"/>
    <mergeCell ref="A1488:B1493"/>
    <mergeCell ref="C1488:C1489"/>
    <mergeCell ref="D1488:E1488"/>
    <mergeCell ref="G1488:H1493"/>
    <mergeCell ref="D1489:E1490"/>
    <mergeCell ref="F1489:F1490"/>
    <mergeCell ref="D1491:E1491"/>
    <mergeCell ref="C1492:C1493"/>
    <mergeCell ref="D1492:E1493"/>
    <mergeCell ref="B1474:G1474"/>
    <mergeCell ref="A1494:H1494"/>
    <mergeCell ref="A1495:H1496"/>
    <mergeCell ref="A1604:B1609"/>
    <mergeCell ref="C1604:C1605"/>
    <mergeCell ref="D1604:E1604"/>
    <mergeCell ref="G1604:H1609"/>
    <mergeCell ref="D1605:E1606"/>
    <mergeCell ref="F1605:F1606"/>
    <mergeCell ref="D1607:E1607"/>
    <mergeCell ref="C1608:C1609"/>
    <mergeCell ref="D1608:E1609"/>
    <mergeCell ref="A1610:H1610"/>
    <mergeCell ref="A1611:H1612"/>
    <mergeCell ref="A1614:H1614"/>
    <mergeCell ref="B1616:F1616"/>
    <mergeCell ref="B1618:G1618"/>
    <mergeCell ref="B1619:C1619"/>
    <mergeCell ref="B1620:C1620"/>
    <mergeCell ref="B1621:C1621"/>
    <mergeCell ref="B1622:C1622"/>
    <mergeCell ref="B1647:G1647"/>
    <mergeCell ref="B1624:G1624"/>
    <mergeCell ref="B1625:C1625"/>
    <mergeCell ref="B1626:C1626"/>
    <mergeCell ref="B1627:C1627"/>
    <mergeCell ref="B1628:C1628"/>
    <mergeCell ref="B1629:C1629"/>
    <mergeCell ref="B1630:C1630"/>
    <mergeCell ref="B1632:G1632"/>
    <mergeCell ref="B1638:G1638"/>
    <mergeCell ref="B1683:C1683"/>
    <mergeCell ref="B1684:C1684"/>
    <mergeCell ref="B1685:C1685"/>
    <mergeCell ref="B1686:C1686"/>
    <mergeCell ref="B1687:C1687"/>
    <mergeCell ref="B1688:C1688"/>
    <mergeCell ref="B1677:C1677"/>
    <mergeCell ref="B1678:C1678"/>
    <mergeCell ref="B1679:C1679"/>
    <mergeCell ref="B1709:G1709"/>
    <mergeCell ref="A1661:B1666"/>
    <mergeCell ref="C1661:C1662"/>
    <mergeCell ref="D1661:E1661"/>
    <mergeCell ref="G1661:H1666"/>
    <mergeCell ref="D1662:E1663"/>
    <mergeCell ref="F1662:F1663"/>
    <mergeCell ref="D1664:E1664"/>
    <mergeCell ref="C1665:C1666"/>
    <mergeCell ref="D1665:E1666"/>
    <mergeCell ref="A1667:H1667"/>
    <mergeCell ref="A1668:H1669"/>
    <mergeCell ref="A1671:H1671"/>
    <mergeCell ref="B1673:F1673"/>
    <mergeCell ref="B1675:G1675"/>
    <mergeCell ref="B1676:C1676"/>
    <mergeCell ref="B1681:G1681"/>
    <mergeCell ref="B1682:C1682"/>
    <mergeCell ref="B1689:C1689"/>
    <mergeCell ref="B1690:C1690"/>
    <mergeCell ref="B1691:C1691"/>
    <mergeCell ref="B1692:C1692"/>
    <mergeCell ref="B1694:G1694"/>
    <mergeCell ref="B1700:G1700"/>
    <mergeCell ref="A287:B292"/>
    <mergeCell ref="C287:C288"/>
    <mergeCell ref="D287:E287"/>
    <mergeCell ref="G287:H292"/>
    <mergeCell ref="D288:E289"/>
    <mergeCell ref="F288:F289"/>
    <mergeCell ref="D290:E290"/>
    <mergeCell ref="C291:C292"/>
    <mergeCell ref="D291:E292"/>
    <mergeCell ref="A293:H293"/>
    <mergeCell ref="A294:H295"/>
    <mergeCell ref="A297:H297"/>
    <mergeCell ref="B299:F299"/>
    <mergeCell ref="B301:G301"/>
    <mergeCell ref="B302:C302"/>
    <mergeCell ref="B303:C303"/>
    <mergeCell ref="B304:C304"/>
    <mergeCell ref="B305:C305"/>
    <mergeCell ref="B307:G307"/>
    <mergeCell ref="B308:C308"/>
    <mergeCell ref="B309:C309"/>
    <mergeCell ref="B310:C310"/>
    <mergeCell ref="B311:C311"/>
    <mergeCell ref="B312:C312"/>
    <mergeCell ref="B313:C313"/>
    <mergeCell ref="B315:G315"/>
    <mergeCell ref="B321:G321"/>
    <mergeCell ref="B330:G330"/>
    <mergeCell ref="A58:B63"/>
    <mergeCell ref="C58:C59"/>
    <mergeCell ref="D58:E58"/>
    <mergeCell ref="G58:H63"/>
    <mergeCell ref="D59:E60"/>
    <mergeCell ref="F59:F60"/>
    <mergeCell ref="D61:E61"/>
    <mergeCell ref="C62:C63"/>
    <mergeCell ref="D62:E63"/>
    <mergeCell ref="A64:H64"/>
    <mergeCell ref="A65:H66"/>
    <mergeCell ref="A68:H68"/>
    <mergeCell ref="B70:F70"/>
    <mergeCell ref="B72:G72"/>
    <mergeCell ref="B73:C73"/>
    <mergeCell ref="B74:C74"/>
    <mergeCell ref="B75:C75"/>
    <mergeCell ref="B76:C76"/>
    <mergeCell ref="B78:G78"/>
    <mergeCell ref="B79:C79"/>
    <mergeCell ref="B80:C80"/>
    <mergeCell ref="B81:C81"/>
    <mergeCell ref="B82:C82"/>
  </mergeCells>
  <phoneticPr fontId="2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3" orientation="portrait" r:id="rId1"/>
  <rowBreaks count="23" manualBreakCount="23">
    <brk id="114" max="7" man="1"/>
    <brk id="172" max="7" man="1"/>
    <brk id="228" max="7" man="1"/>
    <brk id="344" max="7" man="1"/>
    <brk id="401" max="7" man="1"/>
    <brk id="461" max="7" man="1"/>
    <brk id="518" max="7" man="1"/>
    <brk id="573" max="7" man="1"/>
    <brk id="628" max="7" man="1"/>
    <brk id="684" max="7" man="1"/>
    <brk id="740" max="7" man="1"/>
    <brk id="857" max="7" man="1"/>
    <brk id="914" max="7" man="1"/>
    <brk id="969" max="7" man="1"/>
    <brk id="1027" max="7" man="1"/>
    <brk id="1086" max="7" man="1"/>
    <brk id="1199" max="7" man="1"/>
    <brk id="1256" max="7" man="1"/>
    <brk id="1313" max="7" man="1"/>
    <brk id="1371" max="7" man="1"/>
    <brk id="1430" max="7" man="1"/>
    <brk id="1544" max="7" man="1"/>
    <brk id="1602" max="7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75" zoomScaleNormal="80" zoomScaleSheetLayoutView="75" workbookViewId="0">
      <selection activeCell="D19" sqref="D19"/>
    </sheetView>
  </sheetViews>
  <sheetFormatPr baseColWidth="10" defaultColWidth="11.44140625" defaultRowHeight="15.6" outlineLevelCol="1" x14ac:dyDescent="0.3"/>
  <cols>
    <col min="1" max="1" width="7.109375" style="154" customWidth="1"/>
    <col min="2" max="2" width="47.88671875" style="155" customWidth="1"/>
    <col min="3" max="3" width="11.6640625" style="156" customWidth="1"/>
    <col min="4" max="4" width="11.6640625" style="155" customWidth="1"/>
    <col min="5" max="5" width="14.5546875" style="155" customWidth="1"/>
    <col min="6" max="6" width="20.33203125" style="157" customWidth="1"/>
    <col min="7" max="7" width="28" style="158" customWidth="1"/>
    <col min="8" max="8" width="24.88671875" style="158" customWidth="1"/>
    <col min="9" max="9" width="24.88671875" style="5" customWidth="1"/>
    <col min="10" max="10" width="25.33203125" style="5" customWidth="1"/>
    <col min="11" max="11" width="20.33203125" style="4" customWidth="1"/>
    <col min="12" max="16" width="19.88671875" style="5" hidden="1" customWidth="1" outlineLevel="1"/>
    <col min="17" max="17" width="23.109375" style="5" hidden="1" customWidth="1" outlineLevel="1"/>
    <col min="18" max="20" width="11.44140625" style="4" hidden="1" customWidth="1" outlineLevel="1"/>
    <col min="21" max="21" width="23.33203125" style="7" customWidth="1" collapsed="1"/>
    <col min="22" max="22" width="24.6640625" style="7" customWidth="1"/>
    <col min="23" max="23" width="23.33203125" style="7" customWidth="1"/>
    <col min="24" max="24" width="23.6640625" style="7" customWidth="1"/>
    <col min="25" max="25" width="26.33203125" style="7" customWidth="1"/>
    <col min="26" max="26" width="23.88671875" style="7" customWidth="1"/>
    <col min="27" max="27" width="17.88671875" style="4" bestFit="1" customWidth="1"/>
    <col min="28" max="28" width="11.44140625" style="4"/>
    <col min="29" max="29" width="30" style="4" customWidth="1"/>
    <col min="30" max="30" width="22.109375" style="6" customWidth="1"/>
    <col min="31" max="16384" width="11.44140625" style="4"/>
  </cols>
  <sheetData>
    <row r="1" spans="1:10" ht="20.25" customHeight="1" thickBot="1" x14ac:dyDescent="0.35">
      <c r="J1" s="3"/>
    </row>
    <row r="2" spans="1:10" ht="20.25" customHeight="1" thickBot="1" x14ac:dyDescent="0.3">
      <c r="A2" s="776" t="s">
        <v>151</v>
      </c>
      <c r="B2" s="777"/>
      <c r="C2" s="777"/>
      <c r="D2" s="777"/>
      <c r="E2" s="777"/>
      <c r="F2" s="778"/>
      <c r="G2" s="785" t="s">
        <v>70</v>
      </c>
      <c r="H2" s="773" t="s">
        <v>71</v>
      </c>
      <c r="J2" s="3"/>
    </row>
    <row r="3" spans="1:10" ht="26.25" customHeight="1" x14ac:dyDescent="0.25">
      <c r="A3" s="779" t="s">
        <v>150</v>
      </c>
      <c r="B3" s="780"/>
      <c r="C3" s="780"/>
      <c r="D3" s="780"/>
      <c r="E3" s="780"/>
      <c r="F3" s="781"/>
      <c r="G3" s="786"/>
      <c r="H3" s="774"/>
      <c r="J3" s="3"/>
    </row>
    <row r="4" spans="1:10" ht="31.5" customHeight="1" thickBot="1" x14ac:dyDescent="0.3">
      <c r="A4" s="782"/>
      <c r="B4" s="783"/>
      <c r="C4" s="783"/>
      <c r="D4" s="783"/>
      <c r="E4" s="783"/>
      <c r="F4" s="784"/>
      <c r="G4" s="787"/>
      <c r="H4" s="775"/>
      <c r="J4" s="3"/>
    </row>
    <row r="5" spans="1:10" ht="20.25" customHeight="1" x14ac:dyDescent="0.25">
      <c r="A5" s="119" t="s">
        <v>3</v>
      </c>
      <c r="B5" s="120" t="s">
        <v>19</v>
      </c>
      <c r="C5" s="120" t="s">
        <v>20</v>
      </c>
      <c r="D5" s="120" t="s">
        <v>21</v>
      </c>
      <c r="E5" s="121" t="s">
        <v>22</v>
      </c>
      <c r="F5" s="122" t="s">
        <v>23</v>
      </c>
      <c r="G5" s="159"/>
      <c r="H5" s="160"/>
      <c r="J5" s="3"/>
    </row>
    <row r="6" spans="1:10" ht="20.25" customHeight="1" x14ac:dyDescent="0.25">
      <c r="A6" s="123">
        <v>1</v>
      </c>
      <c r="B6" s="124" t="s">
        <v>14</v>
      </c>
      <c r="C6" s="124"/>
      <c r="D6" s="124"/>
      <c r="E6" s="124"/>
      <c r="F6" s="125"/>
      <c r="G6" s="161"/>
      <c r="H6" s="136"/>
      <c r="J6" s="3"/>
    </row>
    <row r="7" spans="1:10" ht="20.25" customHeight="1" x14ac:dyDescent="0.25">
      <c r="A7" s="126">
        <v>1.1000000000000001</v>
      </c>
      <c r="B7" s="127" t="s">
        <v>66</v>
      </c>
      <c r="C7" s="128" t="s">
        <v>16</v>
      </c>
      <c r="D7" s="129" t="e">
        <f>+Presupuesto!#REF!</f>
        <v>#REF!</v>
      </c>
      <c r="E7" s="130" t="e">
        <f>+Presupuesto!#REF!</f>
        <v>#REF!</v>
      </c>
      <c r="F7" s="131" t="e">
        <f>ROUND((D7*E7),0)</f>
        <v>#REF!</v>
      </c>
      <c r="G7" s="161" t="e">
        <f>+F7</f>
        <v>#REF!</v>
      </c>
      <c r="H7" s="136"/>
      <c r="J7" s="3"/>
    </row>
    <row r="8" spans="1:10" ht="20.25" customHeight="1" x14ac:dyDescent="0.25">
      <c r="A8" s="126"/>
      <c r="B8" s="132" t="s">
        <v>24</v>
      </c>
      <c r="C8" s="133"/>
      <c r="D8" s="133"/>
      <c r="E8" s="130"/>
      <c r="F8" s="134" t="e">
        <f>+F7</f>
        <v>#REF!</v>
      </c>
      <c r="G8" s="161"/>
      <c r="H8" s="136"/>
      <c r="J8" s="3"/>
    </row>
    <row r="9" spans="1:10" ht="20.25" customHeight="1" x14ac:dyDescent="0.25">
      <c r="A9" s="135">
        <v>2</v>
      </c>
      <c r="B9" s="132" t="s">
        <v>137</v>
      </c>
      <c r="C9" s="133"/>
      <c r="D9" s="133"/>
      <c r="E9" s="130"/>
      <c r="F9" s="136"/>
      <c r="G9" s="161"/>
      <c r="H9" s="136"/>
      <c r="J9" s="177">
        <v>2.5499999999999998</v>
      </c>
    </row>
    <row r="10" spans="1:10" ht="20.25" customHeight="1" x14ac:dyDescent="0.25">
      <c r="A10" s="126">
        <v>2.1</v>
      </c>
      <c r="B10" s="127" t="s">
        <v>73</v>
      </c>
      <c r="C10" s="133" t="s">
        <v>17</v>
      </c>
      <c r="D10" s="129" t="e">
        <f>+Presupuesto!#REF!</f>
        <v>#REF!</v>
      </c>
      <c r="E10" s="130" t="e">
        <f>+Presupuesto!#REF!</f>
        <v>#REF!</v>
      </c>
      <c r="F10" s="131" t="e">
        <f>ROUND((D10*E10),0)</f>
        <v>#REF!</v>
      </c>
      <c r="G10" s="161" t="e">
        <f t="shared" ref="G10:G15" si="0">+F10</f>
        <v>#REF!</v>
      </c>
      <c r="H10" s="136"/>
      <c r="J10" s="177">
        <v>5</v>
      </c>
    </row>
    <row r="11" spans="1:10" ht="20.25" customHeight="1" x14ac:dyDescent="0.25">
      <c r="A11" s="126">
        <v>2.2000000000000002</v>
      </c>
      <c r="B11" s="127" t="s">
        <v>129</v>
      </c>
      <c r="C11" s="133" t="s">
        <v>75</v>
      </c>
      <c r="D11" s="129" t="e">
        <f>+Presupuesto!#REF!</f>
        <v>#REF!</v>
      </c>
      <c r="E11" s="130" t="e">
        <f>+Presupuesto!#REF!</f>
        <v>#REF!</v>
      </c>
      <c r="F11" s="131" t="e">
        <f t="shared" ref="F11:F19" si="1">ROUND((D11*E11),0)</f>
        <v>#REF!</v>
      </c>
      <c r="G11" s="161" t="e">
        <f t="shared" si="0"/>
        <v>#REF!</v>
      </c>
      <c r="H11" s="136"/>
      <c r="J11" s="177">
        <v>2.4000000000000004</v>
      </c>
    </row>
    <row r="12" spans="1:10" ht="20.25" customHeight="1" x14ac:dyDescent="0.25">
      <c r="A12" s="126">
        <v>2.2999999999999998</v>
      </c>
      <c r="B12" s="127" t="s">
        <v>138</v>
      </c>
      <c r="C12" s="133" t="s">
        <v>17</v>
      </c>
      <c r="D12" s="129" t="e">
        <f>+Presupuesto!#REF!</f>
        <v>#REF!</v>
      </c>
      <c r="E12" s="130" t="e">
        <f>+Presupuesto!#REF!</f>
        <v>#REF!</v>
      </c>
      <c r="F12" s="131" t="e">
        <f t="shared" si="1"/>
        <v>#REF!</v>
      </c>
      <c r="G12" s="161" t="e">
        <f t="shared" si="0"/>
        <v>#REF!</v>
      </c>
      <c r="H12" s="136"/>
      <c r="J12" s="177">
        <v>1.7999999999999998</v>
      </c>
    </row>
    <row r="13" spans="1:10" ht="20.25" customHeight="1" x14ac:dyDescent="0.25">
      <c r="A13" s="126">
        <v>2.4</v>
      </c>
      <c r="B13" s="127" t="s">
        <v>141</v>
      </c>
      <c r="C13" s="133" t="s">
        <v>17</v>
      </c>
      <c r="D13" s="129" t="e">
        <f>+Presupuesto!#REF!</f>
        <v>#REF!</v>
      </c>
      <c r="E13" s="130" t="e">
        <f>+Presupuesto!#REF!</f>
        <v>#REF!</v>
      </c>
      <c r="F13" s="131" t="e">
        <f t="shared" si="1"/>
        <v>#REF!</v>
      </c>
      <c r="G13" s="161" t="e">
        <f t="shared" si="0"/>
        <v>#REF!</v>
      </c>
      <c r="H13" s="136"/>
      <c r="J13" s="177">
        <v>3.4</v>
      </c>
    </row>
    <row r="14" spans="1:10" ht="20.25" customHeight="1" x14ac:dyDescent="0.25">
      <c r="A14" s="126">
        <v>2.5</v>
      </c>
      <c r="B14" s="127" t="s">
        <v>139</v>
      </c>
      <c r="C14" s="133" t="s">
        <v>75</v>
      </c>
      <c r="D14" s="129" t="e">
        <f>+Presupuesto!#REF!</f>
        <v>#REF!</v>
      </c>
      <c r="E14" s="130" t="e">
        <f>+Presupuesto!#REF!</f>
        <v>#REF!</v>
      </c>
      <c r="F14" s="131" t="e">
        <f t="shared" si="1"/>
        <v>#REF!</v>
      </c>
      <c r="G14" s="161" t="e">
        <f t="shared" si="0"/>
        <v>#REF!</v>
      </c>
      <c r="H14" s="136"/>
      <c r="J14" s="178">
        <v>2</v>
      </c>
    </row>
    <row r="15" spans="1:10" ht="20.25" customHeight="1" x14ac:dyDescent="0.25">
      <c r="A15" s="138">
        <v>2.6</v>
      </c>
      <c r="B15" s="139" t="s">
        <v>143</v>
      </c>
      <c r="C15" s="140" t="s">
        <v>76</v>
      </c>
      <c r="D15" s="141" t="e">
        <f>+Presupuesto!#REF!</f>
        <v>#REF!</v>
      </c>
      <c r="E15" s="142" t="e">
        <f>+Presupuesto!#REF!</f>
        <v>#REF!</v>
      </c>
      <c r="F15" s="131" t="e">
        <f t="shared" si="1"/>
        <v>#REF!</v>
      </c>
      <c r="G15" s="161" t="e">
        <f t="shared" si="0"/>
        <v>#REF!</v>
      </c>
      <c r="H15" s="136"/>
      <c r="J15" s="179">
        <v>6.6000000000000005</v>
      </c>
    </row>
    <row r="16" spans="1:10" ht="27" customHeight="1" x14ac:dyDescent="0.25">
      <c r="A16" s="138">
        <v>2.7</v>
      </c>
      <c r="B16" s="143" t="s">
        <v>142</v>
      </c>
      <c r="C16" s="144" t="s">
        <v>17</v>
      </c>
      <c r="D16" s="145" t="e">
        <f>+Presupuesto!#REF!</f>
        <v>#REF!</v>
      </c>
      <c r="E16" s="146" t="e">
        <f>+Presupuesto!#REF!</f>
        <v>#REF!</v>
      </c>
      <c r="F16" s="131" t="e">
        <f t="shared" si="1"/>
        <v>#REF!</v>
      </c>
      <c r="G16" s="161"/>
      <c r="H16" s="136" t="e">
        <f>+F16</f>
        <v>#REF!</v>
      </c>
      <c r="J16" s="176">
        <v>1.2000000000000002</v>
      </c>
    </row>
    <row r="17" spans="1:27" ht="20.25" customHeight="1" x14ac:dyDescent="0.25">
      <c r="A17" s="126">
        <v>2.8</v>
      </c>
      <c r="B17" s="127" t="s">
        <v>127</v>
      </c>
      <c r="C17" s="128" t="s">
        <v>17</v>
      </c>
      <c r="D17" s="128" t="e">
        <f>+Presupuesto!#REF!</f>
        <v>#REF!</v>
      </c>
      <c r="E17" s="130" t="e">
        <f>+Presupuesto!#REF!</f>
        <v>#REF!</v>
      </c>
      <c r="F17" s="131" t="e">
        <f t="shared" si="1"/>
        <v>#REF!</v>
      </c>
      <c r="G17" s="161"/>
      <c r="H17" s="136" t="e">
        <f>+F17</f>
        <v>#REF!</v>
      </c>
      <c r="J17" s="176">
        <v>2.4000000000000004</v>
      </c>
    </row>
    <row r="18" spans="1:27" ht="27" customHeight="1" x14ac:dyDescent="0.25">
      <c r="A18" s="126">
        <v>2.9</v>
      </c>
      <c r="B18" s="147" t="s">
        <v>144</v>
      </c>
      <c r="C18" s="128" t="s">
        <v>16</v>
      </c>
      <c r="D18" s="128" t="e">
        <f>+Presupuesto!#REF!</f>
        <v>#REF!</v>
      </c>
      <c r="E18" s="130" t="e">
        <f>+Presupuesto!#REF!</f>
        <v>#REF!</v>
      </c>
      <c r="F18" s="131" t="e">
        <f t="shared" si="1"/>
        <v>#REF!</v>
      </c>
      <c r="G18" s="161"/>
      <c r="H18" s="136" t="e">
        <f>+F18</f>
        <v>#REF!</v>
      </c>
      <c r="J18" s="176">
        <v>6</v>
      </c>
    </row>
    <row r="19" spans="1:27" ht="27.75" customHeight="1" x14ac:dyDescent="0.25">
      <c r="A19" s="148" t="e">
        <f>+Presupuesto!#REF!</f>
        <v>#REF!</v>
      </c>
      <c r="B19" s="147" t="s">
        <v>131</v>
      </c>
      <c r="C19" s="128" t="s">
        <v>16</v>
      </c>
      <c r="D19" s="128" t="e">
        <f>+Presupuesto!#REF!</f>
        <v>#REF!</v>
      </c>
      <c r="E19" s="130" t="e">
        <f>+Presupuesto!#REF!</f>
        <v>#REF!</v>
      </c>
      <c r="F19" s="131" t="e">
        <f t="shared" si="1"/>
        <v>#REF!</v>
      </c>
      <c r="G19" s="161"/>
      <c r="H19" s="136" t="e">
        <f>+F19</f>
        <v>#REF!</v>
      </c>
      <c r="J19" s="3"/>
    </row>
    <row r="20" spans="1:27" ht="20.25" customHeight="1" x14ac:dyDescent="0.25">
      <c r="A20" s="126"/>
      <c r="B20" s="132" t="s">
        <v>24</v>
      </c>
      <c r="C20" s="133"/>
      <c r="D20" s="133"/>
      <c r="E20" s="130"/>
      <c r="F20" s="134" t="e">
        <f>+F10+F11+F12+F13+F14+F15+F16+F17+F18+F19</f>
        <v>#REF!</v>
      </c>
      <c r="G20" s="161"/>
      <c r="H20" s="136"/>
      <c r="J20" s="3"/>
    </row>
    <row r="21" spans="1:27" ht="20.25" customHeight="1" x14ac:dyDescent="0.25">
      <c r="A21" s="149">
        <v>3</v>
      </c>
      <c r="B21" s="124" t="s">
        <v>146</v>
      </c>
      <c r="C21" s="128"/>
      <c r="D21" s="128"/>
      <c r="E21" s="130"/>
      <c r="F21" s="137"/>
      <c r="G21" s="161"/>
      <c r="H21" s="136"/>
      <c r="J21" s="3"/>
    </row>
    <row r="22" spans="1:27" ht="20.25" customHeight="1" x14ac:dyDescent="0.25">
      <c r="A22" s="126">
        <v>3.1</v>
      </c>
      <c r="B22" s="147" t="s">
        <v>147</v>
      </c>
      <c r="C22" s="128" t="s">
        <v>75</v>
      </c>
      <c r="D22" s="128" t="e">
        <f>+Presupuesto!#REF!</f>
        <v>#REF!</v>
      </c>
      <c r="E22" s="130" t="e">
        <f>+Presupuesto!#REF!</f>
        <v>#REF!</v>
      </c>
      <c r="F22" s="131" t="e">
        <f>ROUND((D22*E22),0)</f>
        <v>#REF!</v>
      </c>
      <c r="G22" s="161"/>
      <c r="H22" s="136" t="e">
        <f>+F22</f>
        <v>#REF!</v>
      </c>
      <c r="J22" s="3"/>
    </row>
    <row r="23" spans="1:27" ht="20.25" customHeight="1" x14ac:dyDescent="0.25">
      <c r="A23" s="126">
        <v>3.2</v>
      </c>
      <c r="B23" s="147" t="s">
        <v>148</v>
      </c>
      <c r="C23" s="128" t="s">
        <v>76</v>
      </c>
      <c r="D23" s="128">
        <f>+'Memoria de Cantidades'!J48</f>
        <v>34</v>
      </c>
      <c r="E23" s="130" t="e">
        <f>+Presupuesto!#REF!</f>
        <v>#REF!</v>
      </c>
      <c r="F23" s="131" t="e">
        <f>ROUND((D23*E23),0)</f>
        <v>#REF!</v>
      </c>
      <c r="G23" s="161"/>
      <c r="H23" s="136" t="e">
        <f>+F23</f>
        <v>#REF!</v>
      </c>
      <c r="J23" s="3"/>
    </row>
    <row r="24" spans="1:27" ht="20.25" customHeight="1" thickBot="1" x14ac:dyDescent="0.3">
      <c r="A24" s="126">
        <v>3.3</v>
      </c>
      <c r="B24" s="147" t="s">
        <v>149</v>
      </c>
      <c r="C24" s="128" t="s">
        <v>76</v>
      </c>
      <c r="D24" s="128">
        <f>+'Memoria de Cantidades'!J50</f>
        <v>11</v>
      </c>
      <c r="E24" s="130" t="e">
        <f>+Presupuesto!#REF!</f>
        <v>#REF!</v>
      </c>
      <c r="F24" s="131" t="e">
        <f>ROUND((D24*E24),0)</f>
        <v>#REF!</v>
      </c>
      <c r="G24" s="162"/>
      <c r="H24" s="163" t="e">
        <f>+F24</f>
        <v>#REF!</v>
      </c>
      <c r="J24" s="3"/>
    </row>
    <row r="25" spans="1:27" ht="20.25" customHeight="1" thickBot="1" x14ac:dyDescent="0.3">
      <c r="A25" s="126"/>
      <c r="B25" s="132" t="s">
        <v>24</v>
      </c>
      <c r="C25" s="133"/>
      <c r="D25" s="133"/>
      <c r="E25" s="130"/>
      <c r="F25" s="150" t="e">
        <f>+F22+F23+F24</f>
        <v>#REF!</v>
      </c>
      <c r="G25" s="164" t="e">
        <f>SUM(G7:G24)</f>
        <v>#REF!</v>
      </c>
      <c r="H25" s="165" t="e">
        <f>SUM(H16:H24)</f>
        <v>#REF!</v>
      </c>
      <c r="J25" s="3"/>
    </row>
    <row r="26" spans="1:27" ht="20.25" customHeight="1" thickBot="1" x14ac:dyDescent="0.3">
      <c r="A26" s="151"/>
      <c r="B26" s="152" t="s">
        <v>25</v>
      </c>
      <c r="C26" s="152"/>
      <c r="D26" s="152"/>
      <c r="E26" s="152"/>
      <c r="F26" s="153" t="e">
        <f>+F8+F20+F25</f>
        <v>#REF!</v>
      </c>
      <c r="G26" s="166"/>
      <c r="H26" s="166"/>
      <c r="J26" s="3"/>
    </row>
    <row r="27" spans="1:27" ht="15" customHeight="1" x14ac:dyDescent="0.3">
      <c r="J27" s="3"/>
    </row>
    <row r="28" spans="1:27" x14ac:dyDescent="0.3">
      <c r="F28" s="167"/>
      <c r="J28" s="3"/>
    </row>
    <row r="29" spans="1:27" ht="17.25" customHeight="1" x14ac:dyDescent="0.3">
      <c r="B29" s="168" t="str">
        <f>+'Memoria de Cantidades'!B52</f>
        <v>ALABORÓ:</v>
      </c>
      <c r="C29" s="168"/>
      <c r="D29" s="168"/>
      <c r="E29" s="168"/>
      <c r="F29" s="167" t="str">
        <f>+'Memoria de Cantidades'!E52</f>
        <v>Vo.Bo.</v>
      </c>
      <c r="J29" s="3"/>
      <c r="K29" s="8"/>
    </row>
    <row r="30" spans="1:27" ht="17.25" customHeight="1" x14ac:dyDescent="0.3">
      <c r="C30" s="772"/>
      <c r="D30" s="772"/>
      <c r="E30" s="772"/>
      <c r="F30" s="772"/>
      <c r="J30" s="3"/>
      <c r="L30" s="10"/>
      <c r="M30" s="10"/>
      <c r="N30" s="10"/>
      <c r="O30" s="10"/>
      <c r="P30" s="10"/>
      <c r="Q30" s="10"/>
      <c r="R30" s="9"/>
      <c r="S30" s="9"/>
      <c r="T30" s="9"/>
      <c r="U30" s="11"/>
      <c r="V30" s="11"/>
      <c r="W30" s="11"/>
      <c r="X30" s="11"/>
      <c r="Y30" s="11"/>
      <c r="Z30" s="12"/>
    </row>
    <row r="31" spans="1:27" ht="17.25" customHeight="1" x14ac:dyDescent="0.3">
      <c r="C31" s="168"/>
      <c r="D31" s="168"/>
      <c r="E31" s="168"/>
      <c r="F31" s="167"/>
      <c r="J31" s="3"/>
      <c r="U31" s="12"/>
      <c r="V31" s="12"/>
      <c r="W31" s="12"/>
      <c r="X31" s="12"/>
      <c r="Y31" s="12"/>
      <c r="Z31" s="12"/>
      <c r="AA31" s="8"/>
    </row>
    <row r="32" spans="1:27" ht="17.25" customHeight="1" x14ac:dyDescent="0.3">
      <c r="C32" s="168"/>
      <c r="D32" s="168"/>
      <c r="E32" s="168"/>
      <c r="F32" s="167"/>
      <c r="J32" s="3"/>
      <c r="U32" s="12"/>
      <c r="V32" s="12"/>
      <c r="W32" s="12"/>
      <c r="X32" s="12"/>
      <c r="Y32" s="12"/>
      <c r="Z32" s="12"/>
      <c r="AA32" s="8"/>
    </row>
    <row r="33" spans="2:27" ht="17.25" customHeight="1" thickBot="1" x14ac:dyDescent="0.35">
      <c r="B33" s="169"/>
      <c r="C33" s="170"/>
      <c r="D33" s="168"/>
      <c r="E33" s="168"/>
      <c r="F33" s="171"/>
      <c r="G33" s="172"/>
      <c r="H33" s="172"/>
      <c r="J33" s="3"/>
      <c r="K33" s="8"/>
      <c r="U33" s="12"/>
      <c r="V33" s="12"/>
      <c r="W33" s="12"/>
      <c r="X33" s="12"/>
      <c r="Y33" s="12"/>
    </row>
    <row r="34" spans="2:27" ht="17.25" customHeight="1" x14ac:dyDescent="0.3">
      <c r="B34" s="173">
        <f>+'Memoria de Cantidades'!B56</f>
        <v>0</v>
      </c>
      <c r="C34" s="173"/>
      <c r="D34" s="173"/>
      <c r="E34" s="173"/>
      <c r="F34" s="174" t="str">
        <f>+'Memoria de Cantidades'!E56</f>
        <v>ARQ. GUILLERMO YAMID VALLEJOS BENAVIDES</v>
      </c>
      <c r="G34" s="175"/>
      <c r="J34" s="3"/>
      <c r="L34" s="10"/>
      <c r="M34" s="10"/>
      <c r="N34" s="10"/>
      <c r="O34" s="10"/>
      <c r="P34" s="10"/>
      <c r="Q34" s="10"/>
      <c r="U34" s="11"/>
      <c r="V34" s="11"/>
      <c r="W34" s="11"/>
      <c r="X34" s="11"/>
      <c r="Y34" s="11"/>
      <c r="Z34" s="11"/>
    </row>
    <row r="35" spans="2:27" ht="17.25" customHeight="1" x14ac:dyDescent="0.3">
      <c r="B35" s="168">
        <f>+'Memoria de Cantidades'!B57</f>
        <v>0</v>
      </c>
      <c r="C35" s="168"/>
      <c r="D35" s="168"/>
      <c r="E35" s="168"/>
      <c r="F35" s="167" t="str">
        <f>+'Memoria de Cantidades'!E57</f>
        <v>SECRETARIO DE PLANEACION Y OBRAS PUBLICAS</v>
      </c>
      <c r="J35" s="3"/>
      <c r="K35" s="13"/>
      <c r="U35" s="12"/>
      <c r="V35" s="12"/>
      <c r="W35" s="12"/>
      <c r="X35" s="12"/>
      <c r="Y35" s="12"/>
      <c r="Z35" s="12"/>
    </row>
    <row r="36" spans="2:27" ht="17.25" customHeight="1" x14ac:dyDescent="0.3">
      <c r="B36" s="168" t="e">
        <f>+'Memoria de Cantidades'!B58</f>
        <v>#REF!</v>
      </c>
      <c r="C36" s="168"/>
      <c r="D36" s="168"/>
      <c r="E36" s="168"/>
      <c r="F36" s="167" t="str">
        <f>+'Memoria de Cantidades'!E58</f>
        <v>SAN MIGUEL - PUTUMAYO</v>
      </c>
      <c r="J36" s="3"/>
      <c r="K36" s="13"/>
      <c r="U36" s="12"/>
      <c r="V36" s="12"/>
      <c r="W36" s="12"/>
      <c r="X36" s="12"/>
      <c r="Y36" s="12"/>
    </row>
    <row r="37" spans="2:27" ht="17.25" customHeight="1" x14ac:dyDescent="0.3">
      <c r="J37" s="3"/>
      <c r="K37" s="13"/>
      <c r="U37" s="12"/>
      <c r="V37" s="12"/>
      <c r="W37" s="12"/>
      <c r="X37" s="12"/>
      <c r="Y37" s="12"/>
    </row>
    <row r="38" spans="2:27" ht="17.25" customHeight="1" x14ac:dyDescent="0.3">
      <c r="J38" s="3"/>
      <c r="K38" s="13"/>
      <c r="U38" s="12"/>
      <c r="V38" s="12"/>
      <c r="W38" s="12"/>
      <c r="X38" s="12"/>
      <c r="Y38" s="12"/>
    </row>
    <row r="39" spans="2:27" ht="17.25" customHeight="1" x14ac:dyDescent="0.3">
      <c r="J39" s="3"/>
      <c r="K39" s="13"/>
      <c r="U39" s="12"/>
      <c r="V39" s="12"/>
      <c r="W39" s="12"/>
      <c r="X39" s="12"/>
      <c r="Y39" s="12"/>
      <c r="Z39" s="12"/>
    </row>
    <row r="40" spans="2:27" ht="17.25" customHeight="1" x14ac:dyDescent="0.3">
      <c r="J40" s="3"/>
      <c r="K40" s="13"/>
      <c r="U40" s="12"/>
      <c r="V40" s="12"/>
      <c r="W40" s="12"/>
      <c r="X40" s="12"/>
      <c r="Y40" s="12"/>
      <c r="Z40" s="12"/>
    </row>
    <row r="41" spans="2:27" ht="17.25" customHeight="1" x14ac:dyDescent="0.3">
      <c r="J41" s="3"/>
      <c r="K41" s="8"/>
      <c r="U41" s="12"/>
      <c r="V41" s="12"/>
      <c r="W41" s="12"/>
      <c r="X41" s="12"/>
      <c r="Y41" s="12"/>
      <c r="Z41" s="12"/>
      <c r="AA41" s="8"/>
    </row>
    <row r="42" spans="2:27" ht="17.25" customHeight="1" x14ac:dyDescent="0.3">
      <c r="J42" s="3"/>
      <c r="K42" s="8"/>
      <c r="U42" s="12"/>
      <c r="V42" s="12"/>
      <c r="W42" s="12"/>
      <c r="X42" s="12"/>
      <c r="Y42" s="12"/>
      <c r="Z42" s="12"/>
      <c r="AA42" s="8"/>
    </row>
    <row r="43" spans="2:27" ht="36.75" customHeight="1" x14ac:dyDescent="0.3">
      <c r="J43" s="3"/>
      <c r="K43" s="8"/>
      <c r="U43" s="12"/>
      <c r="V43" s="12"/>
      <c r="W43" s="12"/>
      <c r="X43" s="12"/>
      <c r="Y43" s="12"/>
      <c r="Z43" s="12"/>
      <c r="AA43" s="8"/>
    </row>
    <row r="44" spans="2:27" ht="29.25" customHeight="1" x14ac:dyDescent="0.3">
      <c r="J44" s="3"/>
      <c r="K44" s="8"/>
      <c r="U44" s="12"/>
      <c r="V44" s="12"/>
      <c r="W44" s="12"/>
      <c r="X44" s="12"/>
      <c r="Y44" s="12"/>
      <c r="Z44" s="12"/>
      <c r="AA44" s="8"/>
    </row>
    <row r="45" spans="2:27" ht="17.25" customHeight="1" x14ac:dyDescent="0.3">
      <c r="J45" s="3"/>
      <c r="K45" s="8"/>
      <c r="U45" s="12"/>
      <c r="V45" s="12"/>
      <c r="W45" s="12"/>
      <c r="X45" s="12"/>
      <c r="Y45" s="12"/>
      <c r="Z45" s="12"/>
      <c r="AA45" s="8"/>
    </row>
    <row r="46" spans="2:27" ht="17.25" customHeight="1" x14ac:dyDescent="0.3">
      <c r="J46" s="3"/>
      <c r="K46" s="8"/>
      <c r="U46" s="12"/>
      <c r="V46" s="12"/>
      <c r="W46" s="12"/>
      <c r="X46" s="12"/>
      <c r="Y46" s="12"/>
      <c r="Z46" s="12"/>
      <c r="AA46" s="8"/>
    </row>
    <row r="47" spans="2:27" x14ac:dyDescent="0.3">
      <c r="J47" s="3"/>
      <c r="K47" s="8"/>
      <c r="U47" s="12"/>
      <c r="V47" s="12"/>
      <c r="W47" s="12"/>
      <c r="X47" s="12"/>
      <c r="Y47" s="12"/>
      <c r="Z47" s="12"/>
      <c r="AA47" s="8"/>
    </row>
    <row r="48" spans="2:27" x14ac:dyDescent="0.3">
      <c r="J48" s="3"/>
      <c r="K48" s="8"/>
      <c r="U48" s="12"/>
      <c r="V48" s="12"/>
      <c r="W48" s="12"/>
      <c r="X48" s="12"/>
      <c r="Y48" s="12"/>
      <c r="Z48" s="12"/>
      <c r="AA48" s="8"/>
    </row>
    <row r="49" spans="10:27" ht="17.25" customHeight="1" x14ac:dyDescent="0.3">
      <c r="J49" s="3"/>
      <c r="K49" s="8"/>
      <c r="U49" s="12"/>
      <c r="V49" s="12"/>
      <c r="W49" s="12"/>
      <c r="X49" s="12"/>
      <c r="Y49" s="12"/>
      <c r="Z49" s="12"/>
      <c r="AA49" s="8"/>
    </row>
    <row r="50" spans="10:27" ht="17.25" customHeight="1" x14ac:dyDescent="0.3">
      <c r="J50" s="3"/>
      <c r="K50" s="8"/>
      <c r="U50" s="12"/>
      <c r="V50" s="12"/>
      <c r="W50" s="12"/>
      <c r="X50" s="12"/>
      <c r="Y50" s="12"/>
      <c r="Z50" s="12"/>
      <c r="AA50" s="8"/>
    </row>
  </sheetData>
  <mergeCells count="5">
    <mergeCell ref="C30:F30"/>
    <mergeCell ref="H2:H4"/>
    <mergeCell ref="A2:F2"/>
    <mergeCell ref="A3:F4"/>
    <mergeCell ref="G2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8"/>
  <sheetViews>
    <sheetView view="pageBreakPreview" topLeftCell="A22" zoomScale="85" zoomScaleNormal="85" zoomScaleSheetLayoutView="85" workbookViewId="0">
      <selection activeCell="L35" sqref="L35:M48"/>
    </sheetView>
  </sheetViews>
  <sheetFormatPr baseColWidth="10" defaultColWidth="11.44140625" defaultRowHeight="14.4" x14ac:dyDescent="0.3"/>
  <cols>
    <col min="1" max="1" width="5" style="17" bestFit="1" customWidth="1"/>
    <col min="2" max="2" width="67.6640625" style="18" customWidth="1"/>
    <col min="3" max="3" width="4.33203125" style="19" bestFit="1" customWidth="1"/>
    <col min="4" max="4" width="9" style="19" bestFit="1" customWidth="1"/>
    <col min="5" max="5" width="11.44140625" style="19"/>
    <col min="6" max="6" width="4.88671875" style="19" bestFit="1" customWidth="1"/>
    <col min="7" max="7" width="8.44140625" style="19" bestFit="1" customWidth="1"/>
    <col min="8" max="8" width="11.88671875" style="19" bestFit="1" customWidth="1"/>
    <col min="9" max="9" width="3" style="19" bestFit="1" customWidth="1"/>
    <col min="10" max="10" width="6.6640625" style="19" bestFit="1" customWidth="1"/>
    <col min="11" max="11" width="8" style="19" bestFit="1" customWidth="1"/>
    <col min="13" max="13" width="26.5546875" customWidth="1"/>
  </cols>
  <sheetData>
    <row r="1" spans="1:11" ht="14.25" customHeight="1" x14ac:dyDescent="0.3">
      <c r="A1" s="793" t="s">
        <v>0</v>
      </c>
      <c r="B1" s="794"/>
      <c r="C1" s="794"/>
      <c r="D1" s="794"/>
      <c r="E1" s="794"/>
      <c r="F1" s="794"/>
      <c r="G1" s="794"/>
      <c r="H1" s="794"/>
      <c r="I1" s="794"/>
      <c r="J1" s="794"/>
      <c r="K1" s="795"/>
    </row>
    <row r="2" spans="1:11" ht="14.25" customHeight="1" x14ac:dyDescent="0.3">
      <c r="A2" s="796" t="s">
        <v>1</v>
      </c>
      <c r="B2" s="797"/>
      <c r="C2" s="797"/>
      <c r="D2" s="797"/>
      <c r="E2" s="797"/>
      <c r="F2" s="797"/>
      <c r="G2" s="797"/>
      <c r="H2" s="797"/>
      <c r="I2" s="797"/>
      <c r="J2" s="797"/>
      <c r="K2" s="798"/>
    </row>
    <row r="3" spans="1:11" ht="14.25" customHeight="1" x14ac:dyDescent="0.3">
      <c r="A3" s="796" t="s">
        <v>65</v>
      </c>
      <c r="B3" s="797"/>
      <c r="C3" s="797"/>
      <c r="D3" s="797"/>
      <c r="E3" s="797"/>
      <c r="F3" s="797"/>
      <c r="G3" s="797"/>
      <c r="H3" s="797"/>
      <c r="I3" s="797"/>
      <c r="J3" s="797"/>
      <c r="K3" s="798"/>
    </row>
    <row r="4" spans="1:11" ht="14.25" customHeight="1" thickBot="1" x14ac:dyDescent="0.35">
      <c r="A4" s="36"/>
      <c r="K4" s="37"/>
    </row>
    <row r="5" spans="1:11" ht="15" thickBot="1" x14ac:dyDescent="0.35">
      <c r="A5" s="799" t="s">
        <v>2</v>
      </c>
      <c r="B5" s="800"/>
      <c r="C5" s="800"/>
      <c r="D5" s="800"/>
      <c r="E5" s="800"/>
      <c r="F5" s="800"/>
      <c r="G5" s="800"/>
      <c r="H5" s="800"/>
      <c r="I5" s="800"/>
      <c r="J5" s="800"/>
      <c r="K5" s="801"/>
    </row>
    <row r="6" spans="1:11" ht="34.5" customHeight="1" thickBot="1" x14ac:dyDescent="0.35">
      <c r="A6" s="790" t="e">
        <f>+Presupuesto!#REF!</f>
        <v>#REF!</v>
      </c>
      <c r="B6" s="791"/>
      <c r="C6" s="791"/>
      <c r="D6" s="791"/>
      <c r="E6" s="791"/>
      <c r="F6" s="791"/>
      <c r="G6" s="791"/>
      <c r="H6" s="791"/>
      <c r="I6" s="791"/>
      <c r="J6" s="791"/>
      <c r="K6" s="792"/>
    </row>
    <row r="7" spans="1:11" ht="15" thickBot="1" x14ac:dyDescent="0.35">
      <c r="A7" s="20" t="s">
        <v>3</v>
      </c>
      <c r="B7" s="21" t="s">
        <v>4</v>
      </c>
      <c r="C7" s="46" t="s">
        <v>5</v>
      </c>
      <c r="D7" s="46" t="s">
        <v>6</v>
      </c>
      <c r="E7" s="46" t="s">
        <v>7</v>
      </c>
      <c r="F7" s="46" t="s">
        <v>8</v>
      </c>
      <c r="G7" s="46" t="s">
        <v>9</v>
      </c>
      <c r="H7" s="46" t="s">
        <v>10</v>
      </c>
      <c r="I7" s="46" t="s">
        <v>11</v>
      </c>
      <c r="J7" s="46" t="s">
        <v>12</v>
      </c>
      <c r="K7" s="47" t="s">
        <v>13</v>
      </c>
    </row>
    <row r="8" spans="1:11" s="1" customFormat="1" ht="20.25" customHeight="1" x14ac:dyDescent="0.3">
      <c r="A8" s="55">
        <v>1</v>
      </c>
      <c r="B8" s="48" t="s">
        <v>14</v>
      </c>
      <c r="C8" s="49"/>
      <c r="D8" s="49"/>
      <c r="E8" s="49"/>
      <c r="F8" s="49"/>
      <c r="G8" s="49"/>
      <c r="H8" s="49"/>
      <c r="I8" s="49"/>
      <c r="J8" s="49"/>
      <c r="K8" s="50"/>
    </row>
    <row r="9" spans="1:11" s="2" customFormat="1" x14ac:dyDescent="0.3">
      <c r="A9" s="23">
        <v>1.1000000000000001</v>
      </c>
      <c r="B9" s="24" t="s">
        <v>15</v>
      </c>
      <c r="C9" s="25" t="s">
        <v>16</v>
      </c>
      <c r="D9" s="42"/>
      <c r="E9" s="42"/>
      <c r="F9" s="42"/>
      <c r="G9" s="42"/>
      <c r="H9" s="42"/>
      <c r="I9" s="42"/>
      <c r="J9" s="42"/>
      <c r="K9" s="43">
        <f>+G10</f>
        <v>3.5</v>
      </c>
    </row>
    <row r="10" spans="1:11" ht="21" customHeight="1" x14ac:dyDescent="0.3">
      <c r="A10" s="23"/>
      <c r="B10" s="24" t="s">
        <v>159</v>
      </c>
      <c r="C10" s="25"/>
      <c r="D10" s="42">
        <v>7</v>
      </c>
      <c r="E10" s="42">
        <v>0.5</v>
      </c>
      <c r="F10" s="42"/>
      <c r="G10" s="42">
        <f>--D10*E10</f>
        <v>3.5</v>
      </c>
      <c r="H10" s="42"/>
      <c r="I10" s="42"/>
      <c r="J10" s="42"/>
      <c r="K10" s="43"/>
    </row>
    <row r="11" spans="1:11" ht="21" customHeight="1" x14ac:dyDescent="0.3">
      <c r="A11" s="23">
        <v>1.2</v>
      </c>
      <c r="B11" s="24" t="s">
        <v>128</v>
      </c>
      <c r="C11" s="25" t="s">
        <v>16</v>
      </c>
      <c r="D11" s="42"/>
      <c r="E11" s="42"/>
      <c r="F11" s="42"/>
      <c r="G11" s="42"/>
      <c r="H11" s="42"/>
      <c r="I11" s="42"/>
      <c r="J11" s="42"/>
      <c r="K11" s="43">
        <f>+G12</f>
        <v>1</v>
      </c>
    </row>
    <row r="12" spans="1:11" ht="21" customHeight="1" x14ac:dyDescent="0.3">
      <c r="A12" s="23"/>
      <c r="B12" s="24" t="str">
        <f>B10</f>
        <v>Sector la Vega calle 3 entre crr 2 y 3</v>
      </c>
      <c r="C12" s="25"/>
      <c r="D12" s="42">
        <v>2.5</v>
      </c>
      <c r="E12" s="42">
        <v>0.4</v>
      </c>
      <c r="F12" s="42"/>
      <c r="G12" s="42">
        <f>--E12*D12</f>
        <v>1</v>
      </c>
      <c r="H12" s="42"/>
      <c r="I12" s="42"/>
      <c r="J12" s="42"/>
      <c r="K12" s="43"/>
    </row>
    <row r="13" spans="1:11" s="1" customFormat="1" ht="18" customHeight="1" x14ac:dyDescent="0.3">
      <c r="A13" s="55">
        <v>2</v>
      </c>
      <c r="B13" s="788" t="s">
        <v>137</v>
      </c>
      <c r="C13" s="788"/>
      <c r="D13" s="788"/>
      <c r="E13" s="788"/>
      <c r="F13" s="788"/>
      <c r="G13" s="788"/>
      <c r="H13" s="788"/>
      <c r="I13" s="788"/>
      <c r="J13" s="788"/>
      <c r="K13" s="789"/>
    </row>
    <row r="14" spans="1:11" s="2" customFormat="1" ht="19.5" customHeight="1" x14ac:dyDescent="0.3">
      <c r="A14" s="23">
        <v>2.1</v>
      </c>
      <c r="B14" s="24" t="s">
        <v>73</v>
      </c>
      <c r="C14" s="25" t="s">
        <v>17</v>
      </c>
      <c r="D14" s="42"/>
      <c r="E14" s="42"/>
      <c r="F14" s="42"/>
      <c r="G14" s="42"/>
      <c r="H14" s="42"/>
      <c r="I14" s="42"/>
      <c r="J14" s="42"/>
      <c r="K14" s="43">
        <f>SUM(H15:H15)</f>
        <v>2.5499999999999998</v>
      </c>
    </row>
    <row r="15" spans="1:11" ht="20.25" customHeight="1" x14ac:dyDescent="0.3">
      <c r="A15" s="23"/>
      <c r="B15" s="24" t="str">
        <f>B12</f>
        <v>Sector la Vega calle 3 entre crr 2 y 3</v>
      </c>
      <c r="C15" s="25"/>
      <c r="D15" s="42">
        <v>3.4</v>
      </c>
      <c r="E15" s="42">
        <v>0.5</v>
      </c>
      <c r="F15" s="42">
        <v>1.5</v>
      </c>
      <c r="G15" s="42"/>
      <c r="H15" s="42">
        <f>+D15*E15*F15</f>
        <v>2.5499999999999998</v>
      </c>
      <c r="I15" s="42"/>
      <c r="J15" s="42"/>
      <c r="K15" s="43"/>
    </row>
    <row r="16" spans="1:11" s="2" customFormat="1" ht="16.5" customHeight="1" x14ac:dyDescent="0.3">
      <c r="A16" s="23">
        <v>2.2000000000000002</v>
      </c>
      <c r="B16" s="24" t="s">
        <v>129</v>
      </c>
      <c r="C16" s="24" t="s">
        <v>75</v>
      </c>
      <c r="D16" s="42"/>
      <c r="E16" s="42"/>
      <c r="F16" s="42"/>
      <c r="G16" s="42"/>
      <c r="H16" s="42"/>
      <c r="I16" s="42"/>
      <c r="J16" s="42"/>
      <c r="K16" s="43">
        <f>--D17</f>
        <v>2.5</v>
      </c>
    </row>
    <row r="17" spans="1:11" ht="15.75" customHeight="1" x14ac:dyDescent="0.3">
      <c r="A17" s="23"/>
      <c r="B17" s="24" t="str">
        <f>B15</f>
        <v>Sector la Vega calle 3 entre crr 2 y 3</v>
      </c>
      <c r="C17" s="25"/>
      <c r="D17" s="42">
        <v>2.5</v>
      </c>
      <c r="E17" s="42"/>
      <c r="F17" s="42"/>
      <c r="G17" s="42"/>
      <c r="H17" s="42"/>
      <c r="I17" s="42"/>
      <c r="J17" s="42"/>
      <c r="K17" s="43"/>
    </row>
    <row r="18" spans="1:11" s="2" customFormat="1" ht="16.5" customHeight="1" x14ac:dyDescent="0.3">
      <c r="A18" s="23">
        <v>2.2999999999999998</v>
      </c>
      <c r="B18" s="24" t="s">
        <v>138</v>
      </c>
      <c r="C18" s="24" t="s">
        <v>17</v>
      </c>
      <c r="D18" s="42"/>
      <c r="E18" s="42"/>
      <c r="F18" s="42"/>
      <c r="G18" s="42"/>
      <c r="H18" s="42"/>
      <c r="I18" s="42"/>
      <c r="J18" s="42"/>
      <c r="K18" s="43">
        <f>--H19</f>
        <v>1.7000000000000002</v>
      </c>
    </row>
    <row r="19" spans="1:11" ht="15.75" customHeight="1" x14ac:dyDescent="0.3">
      <c r="A19" s="23"/>
      <c r="B19" s="24" t="str">
        <f>B17</f>
        <v>Sector la Vega calle 3 entre crr 2 y 3</v>
      </c>
      <c r="C19" s="25"/>
      <c r="D19" s="42">
        <v>2.5</v>
      </c>
      <c r="E19" s="42">
        <v>1.7</v>
      </c>
      <c r="F19" s="42">
        <v>0.4</v>
      </c>
      <c r="G19" s="42"/>
      <c r="H19" s="42">
        <f>+D19*E19*F19</f>
        <v>1.7000000000000002</v>
      </c>
      <c r="I19" s="42"/>
      <c r="J19" s="42"/>
      <c r="K19" s="43"/>
    </row>
    <row r="20" spans="1:11" ht="15.75" customHeight="1" x14ac:dyDescent="0.3">
      <c r="A20" s="23">
        <v>2.4</v>
      </c>
      <c r="B20" s="24" t="s">
        <v>156</v>
      </c>
      <c r="C20" s="25" t="s">
        <v>17</v>
      </c>
      <c r="D20" s="42"/>
      <c r="E20" s="42"/>
      <c r="F20" s="42"/>
      <c r="G20" s="42"/>
      <c r="H20" s="42"/>
      <c r="I20" s="42"/>
      <c r="J20" s="42"/>
      <c r="K20" s="43">
        <f>--H21</f>
        <v>0.375</v>
      </c>
    </row>
    <row r="21" spans="1:11" ht="15.75" customHeight="1" x14ac:dyDescent="0.3">
      <c r="A21" s="23"/>
      <c r="B21" s="24" t="str">
        <f>B19</f>
        <v>Sector la Vega calle 3 entre crr 2 y 3</v>
      </c>
      <c r="C21" s="25"/>
      <c r="D21" s="42">
        <f>+D19</f>
        <v>2.5</v>
      </c>
      <c r="E21" s="42">
        <v>0.5</v>
      </c>
      <c r="F21" s="42">
        <v>0.3</v>
      </c>
      <c r="G21" s="42"/>
      <c r="H21" s="42">
        <f>+D21*E21*F21</f>
        <v>0.375</v>
      </c>
      <c r="I21" s="42"/>
      <c r="J21" s="42"/>
      <c r="K21" s="43"/>
    </row>
    <row r="22" spans="1:11" s="2" customFormat="1" ht="18.75" customHeight="1" x14ac:dyDescent="0.3">
      <c r="A22" s="23">
        <v>2.5</v>
      </c>
      <c r="B22" s="24" t="s">
        <v>161</v>
      </c>
      <c r="C22" s="25" t="s">
        <v>75</v>
      </c>
      <c r="D22" s="42"/>
      <c r="E22" s="42"/>
      <c r="F22" s="42"/>
      <c r="G22" s="42"/>
      <c r="H22" s="42"/>
      <c r="I22" s="42"/>
      <c r="J22" s="42"/>
      <c r="K22" s="43">
        <f>D23</f>
        <v>3.4</v>
      </c>
    </row>
    <row r="23" spans="1:11" ht="15" customHeight="1" x14ac:dyDescent="0.3">
      <c r="A23" s="23"/>
      <c r="B23" s="24" t="str">
        <f>B21</f>
        <v>Sector la Vega calle 3 entre crr 2 y 3</v>
      </c>
      <c r="C23" s="25"/>
      <c r="D23" s="42">
        <v>3.4</v>
      </c>
      <c r="E23" s="42"/>
      <c r="F23" s="42"/>
      <c r="G23" s="42"/>
      <c r="H23" s="42"/>
      <c r="I23" s="42"/>
      <c r="J23" s="42"/>
      <c r="K23" s="43"/>
    </row>
    <row r="24" spans="1:11" ht="16.5" customHeight="1" x14ac:dyDescent="0.3">
      <c r="A24" s="23">
        <v>2.6</v>
      </c>
      <c r="B24" s="24" t="s">
        <v>162</v>
      </c>
      <c r="C24" s="25" t="s">
        <v>76</v>
      </c>
      <c r="D24" s="42"/>
      <c r="E24" s="42"/>
      <c r="F24" s="42"/>
      <c r="G24" s="42"/>
      <c r="H24" s="42"/>
      <c r="I24" s="42"/>
      <c r="J24" s="42"/>
      <c r="K24" s="43">
        <f>--J25</f>
        <v>1</v>
      </c>
    </row>
    <row r="25" spans="1:11" ht="15" customHeight="1" x14ac:dyDescent="0.3">
      <c r="A25" s="23"/>
      <c r="B25" s="24" t="str">
        <f>B23</f>
        <v>Sector la Vega calle 3 entre crr 2 y 3</v>
      </c>
      <c r="C25" s="25"/>
      <c r="D25" s="42"/>
      <c r="E25" s="42"/>
      <c r="F25" s="42"/>
      <c r="G25" s="42"/>
      <c r="H25" s="42"/>
      <c r="I25" s="42"/>
      <c r="J25" s="42">
        <v>1</v>
      </c>
      <c r="K25" s="43"/>
    </row>
    <row r="26" spans="1:11" ht="16.5" customHeight="1" x14ac:dyDescent="0.3">
      <c r="A26" s="23">
        <v>2.7</v>
      </c>
      <c r="B26" s="24" t="s">
        <v>140</v>
      </c>
      <c r="C26" s="25" t="s">
        <v>17</v>
      </c>
      <c r="D26" s="42"/>
      <c r="E26" s="42"/>
      <c r="F26" s="42"/>
      <c r="G26" s="42"/>
      <c r="H26" s="42"/>
      <c r="I26" s="42"/>
      <c r="J26" s="42"/>
      <c r="K26" s="43">
        <f>SUM(H27:H27)</f>
        <v>1.625</v>
      </c>
    </row>
    <row r="27" spans="1:11" ht="16.5" customHeight="1" x14ac:dyDescent="0.3">
      <c r="A27" s="23"/>
      <c r="B27" s="24" t="str">
        <f>B25</f>
        <v>Sector la Vega calle 3 entre crr 2 y 3</v>
      </c>
      <c r="C27" s="25"/>
      <c r="D27" s="42">
        <v>2.5</v>
      </c>
      <c r="E27" s="42">
        <v>0.5</v>
      </c>
      <c r="F27" s="42">
        <v>1.3</v>
      </c>
      <c r="G27" s="42"/>
      <c r="H27" s="42">
        <f>+D27*E27*F27</f>
        <v>1.625</v>
      </c>
      <c r="I27" s="42"/>
      <c r="J27" s="42"/>
      <c r="K27" s="43"/>
    </row>
    <row r="28" spans="1:11" ht="16.5" customHeight="1" x14ac:dyDescent="0.3">
      <c r="A28" s="23">
        <v>2.8</v>
      </c>
      <c r="B28" s="24" t="s">
        <v>127</v>
      </c>
      <c r="C28" s="25" t="s">
        <v>17</v>
      </c>
      <c r="D28" s="42"/>
      <c r="E28" s="42"/>
      <c r="F28" s="42"/>
      <c r="G28" s="42"/>
      <c r="H28" s="42"/>
      <c r="I28" s="42"/>
      <c r="J28" s="42"/>
      <c r="K28" s="43">
        <f>SUM(H29:H29)</f>
        <v>0.5</v>
      </c>
    </row>
    <row r="29" spans="1:11" ht="16.5" customHeight="1" x14ac:dyDescent="0.3">
      <c r="A29" s="23"/>
      <c r="B29" s="24" t="str">
        <f>B27</f>
        <v>Sector la Vega calle 3 entre crr 2 y 3</v>
      </c>
      <c r="C29" s="25"/>
      <c r="D29" s="42">
        <v>2.5</v>
      </c>
      <c r="E29" s="42">
        <v>1</v>
      </c>
      <c r="F29" s="42">
        <v>0.2</v>
      </c>
      <c r="G29" s="42"/>
      <c r="H29" s="42">
        <f>--D29*E29*F29</f>
        <v>0.5</v>
      </c>
      <c r="I29" s="42"/>
      <c r="J29" s="42"/>
      <c r="K29" s="43"/>
    </row>
    <row r="30" spans="1:11" ht="19.5" customHeight="1" x14ac:dyDescent="0.3">
      <c r="A30" s="23">
        <v>2.9</v>
      </c>
      <c r="B30" s="51" t="s">
        <v>166</v>
      </c>
      <c r="C30" s="52" t="s">
        <v>16</v>
      </c>
      <c r="D30" s="53"/>
      <c r="E30" s="53"/>
      <c r="F30" s="53"/>
      <c r="G30" s="53"/>
      <c r="H30" s="53"/>
      <c r="I30" s="53"/>
      <c r="J30" s="53"/>
      <c r="K30" s="54">
        <f>--G31</f>
        <v>0.88000000000000012</v>
      </c>
    </row>
    <row r="31" spans="1:11" ht="18.75" customHeight="1" x14ac:dyDescent="0.3">
      <c r="A31" s="23"/>
      <c r="B31" s="24" t="str">
        <f>B29</f>
        <v>Sector la Vega calle 3 entre crr 2 y 3</v>
      </c>
      <c r="C31" s="25"/>
      <c r="D31" s="42">
        <v>2.2000000000000002</v>
      </c>
      <c r="E31" s="42">
        <v>0.4</v>
      </c>
      <c r="F31" s="42"/>
      <c r="G31" s="42">
        <f>--D31*E31</f>
        <v>0.88000000000000012</v>
      </c>
      <c r="H31" s="42"/>
      <c r="I31" s="42"/>
      <c r="J31" s="42"/>
      <c r="K31" s="43"/>
    </row>
    <row r="32" spans="1:11" x14ac:dyDescent="0.3">
      <c r="A32" s="28">
        <v>2.1</v>
      </c>
      <c r="B32" s="29" t="s">
        <v>131</v>
      </c>
      <c r="C32" s="25" t="s">
        <v>16</v>
      </c>
      <c r="D32" s="42"/>
      <c r="E32" s="42"/>
      <c r="F32" s="42"/>
      <c r="G32" s="42"/>
      <c r="H32" s="42"/>
      <c r="I32" s="42"/>
      <c r="J32" s="42"/>
      <c r="K32" s="43">
        <f>--G33</f>
        <v>3</v>
      </c>
    </row>
    <row r="33" spans="1:11" ht="18.75" customHeight="1" x14ac:dyDescent="0.3">
      <c r="A33" s="23"/>
      <c r="B33" s="24" t="str">
        <f>B31</f>
        <v>Sector la Vega calle 3 entre crr 2 y 3</v>
      </c>
      <c r="C33" s="25"/>
      <c r="D33" s="42">
        <v>3</v>
      </c>
      <c r="E33" s="42">
        <v>1</v>
      </c>
      <c r="F33" s="42"/>
      <c r="G33" s="42">
        <f>--D33*E33</f>
        <v>3</v>
      </c>
      <c r="H33" s="42"/>
      <c r="I33" s="42"/>
      <c r="J33" s="42"/>
      <c r="K33" s="43"/>
    </row>
    <row r="34" spans="1:11" x14ac:dyDescent="0.3">
      <c r="A34" s="55">
        <v>3</v>
      </c>
      <c r="B34" s="788" t="s">
        <v>163</v>
      </c>
      <c r="C34" s="788"/>
      <c r="D34" s="788"/>
      <c r="E34" s="788"/>
      <c r="F34" s="788"/>
      <c r="G34" s="788"/>
      <c r="H34" s="788"/>
      <c r="I34" s="788"/>
      <c r="J34" s="788"/>
      <c r="K34" s="789"/>
    </row>
    <row r="35" spans="1:11" x14ac:dyDescent="0.3">
      <c r="A35" s="23">
        <v>4.0999999999999996</v>
      </c>
      <c r="B35" s="30" t="e">
        <f>+Presupuesto!#REF!</f>
        <v>#REF!</v>
      </c>
      <c r="C35" s="25" t="s">
        <v>75</v>
      </c>
      <c r="D35" s="42"/>
      <c r="E35" s="42"/>
      <c r="F35" s="42"/>
      <c r="G35" s="42"/>
      <c r="H35" s="42"/>
      <c r="I35" s="42"/>
      <c r="J35" s="42"/>
      <c r="K35" s="43">
        <f>SUM(K36:K46)</f>
        <v>2328</v>
      </c>
    </row>
    <row r="36" spans="1:11" x14ac:dyDescent="0.3">
      <c r="A36" s="23"/>
      <c r="B36" s="24" t="s">
        <v>167</v>
      </c>
      <c r="C36" s="25"/>
      <c r="D36" s="44">
        <f>39.92+79.82+74.24+103.26+60.09+66.59+18.82+27</f>
        <v>469.74000000000007</v>
      </c>
      <c r="E36" s="42"/>
      <c r="F36" s="42"/>
      <c r="G36" s="42"/>
      <c r="H36" s="42"/>
      <c r="I36" s="42"/>
      <c r="J36" s="42"/>
      <c r="K36" s="45">
        <f>+D36</f>
        <v>469.74000000000007</v>
      </c>
    </row>
    <row r="37" spans="1:11" x14ac:dyDescent="0.3">
      <c r="A37" s="23"/>
      <c r="B37" s="24" t="s">
        <v>157</v>
      </c>
      <c r="C37" s="25"/>
      <c r="D37" s="44">
        <f>34.26+85.26+80.22+90.32+14.17</f>
        <v>304.23</v>
      </c>
      <c r="E37" s="42"/>
      <c r="F37" s="42"/>
      <c r="G37" s="42"/>
      <c r="H37" s="42"/>
      <c r="I37" s="42"/>
      <c r="J37" s="42"/>
      <c r="K37" s="45">
        <f t="shared" ref="K37:K43" si="0">+D37</f>
        <v>304.23</v>
      </c>
    </row>
    <row r="38" spans="1:11" x14ac:dyDescent="0.3">
      <c r="A38" s="23"/>
      <c r="B38" s="24" t="s">
        <v>168</v>
      </c>
      <c r="C38" s="25"/>
      <c r="D38" s="44">
        <f>21.71+11.22+12.57+47.95+38.64+14.74</f>
        <v>146.83000000000001</v>
      </c>
      <c r="E38" s="42"/>
      <c r="F38" s="42"/>
      <c r="G38" s="42"/>
      <c r="H38" s="42"/>
      <c r="I38" s="42"/>
      <c r="J38" s="42"/>
      <c r="K38" s="45">
        <f t="shared" si="0"/>
        <v>146.83000000000001</v>
      </c>
    </row>
    <row r="39" spans="1:11" x14ac:dyDescent="0.3">
      <c r="A39" s="23"/>
      <c r="B39" s="24" t="s">
        <v>158</v>
      </c>
      <c r="C39" s="25"/>
      <c r="D39" s="44">
        <f>42.91+56.52+56.63</f>
        <v>156.06</v>
      </c>
      <c r="E39" s="42"/>
      <c r="F39" s="42"/>
      <c r="G39" s="42"/>
      <c r="H39" s="42"/>
      <c r="I39" s="42"/>
      <c r="J39" s="42"/>
      <c r="K39" s="45">
        <f t="shared" si="0"/>
        <v>156.06</v>
      </c>
    </row>
    <row r="40" spans="1:11" x14ac:dyDescent="0.3">
      <c r="A40" s="23"/>
      <c r="B40" s="24" t="s">
        <v>169</v>
      </c>
      <c r="C40" s="25"/>
      <c r="D40" s="44">
        <v>180</v>
      </c>
      <c r="E40" s="42"/>
      <c r="F40" s="42"/>
      <c r="G40" s="42"/>
      <c r="H40" s="42"/>
      <c r="I40" s="42"/>
      <c r="J40" s="42"/>
      <c r="K40" s="45">
        <f t="shared" si="0"/>
        <v>180</v>
      </c>
    </row>
    <row r="41" spans="1:11" x14ac:dyDescent="0.3">
      <c r="A41" s="23"/>
      <c r="B41" s="24" t="s">
        <v>171</v>
      </c>
      <c r="C41" s="25"/>
      <c r="D41" s="44">
        <f>40.24+23.31+79.03</f>
        <v>142.57999999999998</v>
      </c>
      <c r="E41" s="42"/>
      <c r="F41" s="42"/>
      <c r="G41" s="42"/>
      <c r="H41" s="42"/>
      <c r="I41" s="42"/>
      <c r="J41" s="42"/>
      <c r="K41" s="45">
        <f t="shared" si="0"/>
        <v>142.57999999999998</v>
      </c>
    </row>
    <row r="42" spans="1:11" x14ac:dyDescent="0.3">
      <c r="A42" s="23"/>
      <c r="B42" s="24" t="s">
        <v>170</v>
      </c>
      <c r="C42" s="25"/>
      <c r="D42" s="44">
        <f>17.24+56.92+86.34+144+203</f>
        <v>507.5</v>
      </c>
      <c r="E42" s="42"/>
      <c r="F42" s="42"/>
      <c r="G42" s="42"/>
      <c r="H42" s="42"/>
      <c r="I42" s="42"/>
      <c r="J42" s="42"/>
      <c r="K42" s="45">
        <f t="shared" si="0"/>
        <v>507.5</v>
      </c>
    </row>
    <row r="43" spans="1:11" x14ac:dyDescent="0.3">
      <c r="A43" s="23"/>
      <c r="B43" s="24" t="s">
        <v>158</v>
      </c>
      <c r="C43" s="25"/>
      <c r="D43" s="44">
        <f>3*5</f>
        <v>15</v>
      </c>
      <c r="E43" s="42"/>
      <c r="F43" s="42"/>
      <c r="G43" s="42"/>
      <c r="H43" s="42"/>
      <c r="I43" s="42"/>
      <c r="J43" s="42"/>
      <c r="K43" s="45">
        <f t="shared" si="0"/>
        <v>15</v>
      </c>
    </row>
    <row r="44" spans="1:11" x14ac:dyDescent="0.3">
      <c r="A44" s="23"/>
      <c r="B44" s="24" t="s">
        <v>172</v>
      </c>
      <c r="C44" s="25"/>
      <c r="D44" s="44">
        <f>42.91+56.52+56.63</f>
        <v>156.06</v>
      </c>
      <c r="E44" s="42"/>
      <c r="F44" s="42"/>
      <c r="G44" s="42"/>
      <c r="H44" s="42"/>
      <c r="I44" s="42"/>
      <c r="J44" s="42"/>
      <c r="K44" s="45">
        <f>+D44</f>
        <v>156.06</v>
      </c>
    </row>
    <row r="45" spans="1:11" x14ac:dyDescent="0.3">
      <c r="A45" s="23"/>
      <c r="B45" s="24" t="s">
        <v>173</v>
      </c>
      <c r="C45" s="25"/>
      <c r="D45" s="44">
        <v>180</v>
      </c>
      <c r="E45" s="42"/>
      <c r="F45" s="42"/>
      <c r="G45" s="42"/>
      <c r="H45" s="42"/>
      <c r="I45" s="42"/>
      <c r="J45" s="42"/>
      <c r="K45" s="45">
        <f>+D45</f>
        <v>180</v>
      </c>
    </row>
    <row r="46" spans="1:11" x14ac:dyDescent="0.3">
      <c r="A46" s="23"/>
      <c r="B46" s="24" t="s">
        <v>176</v>
      </c>
      <c r="C46" s="25"/>
      <c r="D46" s="44">
        <f>(10*1)+(10*6)</f>
        <v>70</v>
      </c>
      <c r="E46" s="42"/>
      <c r="F46" s="42"/>
      <c r="G46" s="42"/>
      <c r="H46" s="42"/>
      <c r="I46" s="42"/>
      <c r="J46" s="42"/>
      <c r="K46" s="45">
        <f>+D46</f>
        <v>70</v>
      </c>
    </row>
    <row r="47" spans="1:11" x14ac:dyDescent="0.3">
      <c r="A47" s="23">
        <v>4.2</v>
      </c>
      <c r="B47" s="30" t="e">
        <f>+Presupuesto!#REF!</f>
        <v>#REF!</v>
      </c>
      <c r="C47" s="24" t="s">
        <v>5</v>
      </c>
      <c r="D47" s="42"/>
      <c r="E47" s="42"/>
      <c r="F47" s="42"/>
      <c r="G47" s="42"/>
      <c r="H47" s="42"/>
      <c r="I47" s="42"/>
      <c r="J47" s="42"/>
      <c r="K47" s="43">
        <f>+K48</f>
        <v>34</v>
      </c>
    </row>
    <row r="48" spans="1:11" x14ac:dyDescent="0.3">
      <c r="A48" s="23"/>
      <c r="B48" s="24" t="s">
        <v>175</v>
      </c>
      <c r="C48" s="25"/>
      <c r="D48" s="42"/>
      <c r="E48" s="42"/>
      <c r="F48" s="42"/>
      <c r="G48" s="42"/>
      <c r="H48" s="42"/>
      <c r="I48" s="42"/>
      <c r="J48" s="42">
        <v>34</v>
      </c>
      <c r="K48" s="45">
        <f>+J48</f>
        <v>34</v>
      </c>
    </row>
    <row r="49" spans="1:11" x14ac:dyDescent="0.3">
      <c r="A49" s="23">
        <v>4.3</v>
      </c>
      <c r="B49" s="30" t="e">
        <f>+Presupuesto!#REF!</f>
        <v>#REF!</v>
      </c>
      <c r="C49" s="24" t="s">
        <v>5</v>
      </c>
      <c r="D49" s="42"/>
      <c r="E49" s="42"/>
      <c r="F49" s="42"/>
      <c r="G49" s="42"/>
      <c r="H49" s="42"/>
      <c r="I49" s="42"/>
      <c r="J49" s="42"/>
      <c r="K49" s="43">
        <f>+K50</f>
        <v>11</v>
      </c>
    </row>
    <row r="50" spans="1:11" x14ac:dyDescent="0.3">
      <c r="A50" s="23"/>
      <c r="B50" s="24" t="s">
        <v>174</v>
      </c>
      <c r="C50" s="25"/>
      <c r="D50" s="42"/>
      <c r="E50" s="42"/>
      <c r="F50" s="42"/>
      <c r="G50" s="42"/>
      <c r="H50" s="42"/>
      <c r="I50" s="42"/>
      <c r="J50" s="42">
        <v>11</v>
      </c>
      <c r="K50" s="45">
        <f>+J50</f>
        <v>11</v>
      </c>
    </row>
    <row r="51" spans="1:11" x14ac:dyDescent="0.3">
      <c r="A51" s="23"/>
      <c r="B51" s="24"/>
      <c r="C51" s="25"/>
      <c r="D51" s="25"/>
      <c r="E51" s="25"/>
      <c r="F51" s="25"/>
      <c r="G51" s="27"/>
      <c r="H51" s="25"/>
      <c r="I51" s="25"/>
      <c r="J51" s="25"/>
      <c r="K51" s="31"/>
    </row>
    <row r="52" spans="1:11" x14ac:dyDescent="0.3">
      <c r="A52" s="23"/>
      <c r="B52" s="24" t="s">
        <v>155</v>
      </c>
      <c r="C52" s="25"/>
      <c r="D52" s="25"/>
      <c r="E52" s="25" t="s">
        <v>154</v>
      </c>
      <c r="F52" s="25"/>
      <c r="G52" s="27"/>
      <c r="H52" s="25"/>
      <c r="I52" s="25"/>
      <c r="J52" s="25"/>
      <c r="K52" s="31"/>
    </row>
    <row r="53" spans="1:11" x14ac:dyDescent="0.3">
      <c r="A53" s="23"/>
      <c r="B53" s="24"/>
      <c r="C53" s="25"/>
      <c r="D53" s="25"/>
      <c r="E53" s="25"/>
      <c r="F53" s="25"/>
      <c r="G53" s="27"/>
      <c r="H53" s="25"/>
      <c r="I53" s="25"/>
      <c r="J53" s="25"/>
      <c r="K53" s="31"/>
    </row>
    <row r="54" spans="1:11" x14ac:dyDescent="0.3">
      <c r="A54" s="23"/>
      <c r="B54" s="24"/>
      <c r="C54" s="25"/>
      <c r="D54" s="25"/>
      <c r="E54" s="25"/>
      <c r="F54" s="25"/>
      <c r="G54" s="27"/>
      <c r="H54" s="25"/>
      <c r="I54" s="25"/>
      <c r="J54" s="25"/>
      <c r="K54" s="31"/>
    </row>
    <row r="55" spans="1:11" x14ac:dyDescent="0.3">
      <c r="A55" s="23"/>
      <c r="B55" s="38"/>
      <c r="C55" s="25"/>
      <c r="D55" s="25"/>
      <c r="E55" s="39"/>
      <c r="F55" s="39"/>
      <c r="G55" s="40"/>
      <c r="H55" s="39"/>
      <c r="I55" s="25"/>
      <c r="J55" s="25"/>
      <c r="K55" s="31"/>
    </row>
    <row r="56" spans="1:11" x14ac:dyDescent="0.3">
      <c r="A56" s="23"/>
      <c r="B56" s="26">
        <f>+Presupuesto!A67</f>
        <v>0</v>
      </c>
      <c r="C56" s="32"/>
      <c r="D56" s="32"/>
      <c r="E56" s="22" t="str">
        <f>+Presupuesto!D65</f>
        <v>ARQ. GUILLERMO YAMID VALLEJOS BENAVIDES</v>
      </c>
      <c r="F56" s="25"/>
      <c r="G56" s="27"/>
      <c r="H56" s="25"/>
      <c r="I56" s="25"/>
      <c r="J56" s="25"/>
      <c r="K56" s="31"/>
    </row>
    <row r="57" spans="1:11" x14ac:dyDescent="0.3">
      <c r="A57" s="23"/>
      <c r="B57" s="29">
        <f>+Presupuesto!A68</f>
        <v>0</v>
      </c>
      <c r="C57" s="25"/>
      <c r="D57" s="25"/>
      <c r="E57" s="25" t="str">
        <f>+Presupuesto!D66</f>
        <v>SECRETARIO DE PLANEACION Y OBRAS PUBLICAS</v>
      </c>
      <c r="F57" s="25"/>
      <c r="G57" s="25"/>
      <c r="H57" s="25"/>
      <c r="I57" s="25"/>
      <c r="J57" s="25"/>
      <c r="K57" s="31"/>
    </row>
    <row r="58" spans="1:11" ht="15" thickBot="1" x14ac:dyDescent="0.35">
      <c r="A58" s="33"/>
      <c r="B58" s="41" t="e">
        <f>+Presupuesto!#REF!</f>
        <v>#REF!</v>
      </c>
      <c r="C58" s="34"/>
      <c r="D58" s="34"/>
      <c r="E58" s="34" t="str">
        <f>+Presupuesto!D67</f>
        <v>SAN MIGUEL - PUTUMAYO</v>
      </c>
      <c r="F58" s="34"/>
      <c r="G58" s="34"/>
      <c r="H58" s="34"/>
      <c r="I58" s="34"/>
      <c r="J58" s="34"/>
      <c r="K58" s="35"/>
    </row>
  </sheetData>
  <mergeCells count="7">
    <mergeCell ref="B13:K13"/>
    <mergeCell ref="B34:K34"/>
    <mergeCell ref="A6:K6"/>
    <mergeCell ref="A1:K1"/>
    <mergeCell ref="A2:K2"/>
    <mergeCell ref="A3:K3"/>
    <mergeCell ref="A5:K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3"/>
  <sheetViews>
    <sheetView showGridLines="0" view="pageBreakPreview" zoomScale="90" zoomScaleNormal="100" zoomScaleSheetLayoutView="90" workbookViewId="0">
      <selection activeCell="G30" sqref="G30"/>
    </sheetView>
  </sheetViews>
  <sheetFormatPr baseColWidth="10" defaultColWidth="11.44140625" defaultRowHeight="13.8" x14ac:dyDescent="0.25"/>
  <cols>
    <col min="1" max="1" width="11.109375" style="200" customWidth="1"/>
    <col min="2" max="2" width="9.5546875" style="202" customWidth="1"/>
    <col min="3" max="3" width="9.88671875" style="202" customWidth="1"/>
    <col min="4" max="4" width="35.6640625" style="202" customWidth="1"/>
    <col min="5" max="5" width="18.109375" style="202" customWidth="1"/>
    <col min="6" max="6" width="11.33203125" style="222" bestFit="1" customWidth="1"/>
    <col min="7" max="7" width="21.6640625" style="222" customWidth="1"/>
    <col min="8" max="16384" width="11.44140625" style="200"/>
  </cols>
  <sheetData>
    <row r="1" spans="2:9" ht="19.5" customHeight="1" x14ac:dyDescent="0.3">
      <c r="B1" s="643"/>
      <c r="C1" s="643"/>
      <c r="D1" s="638" t="s">
        <v>224</v>
      </c>
      <c r="E1" s="316" t="s">
        <v>225</v>
      </c>
      <c r="F1" s="275">
        <v>103</v>
      </c>
      <c r="G1" s="802"/>
    </row>
    <row r="2" spans="2:9" ht="16.5" customHeight="1" x14ac:dyDescent="0.25">
      <c r="B2" s="643"/>
      <c r="C2" s="643"/>
      <c r="D2" s="639"/>
      <c r="E2" s="318" t="s">
        <v>195</v>
      </c>
      <c r="F2" s="712">
        <v>51</v>
      </c>
      <c r="G2" s="802"/>
    </row>
    <row r="3" spans="2:9" ht="27.75" customHeight="1" x14ac:dyDescent="0.25">
      <c r="B3" s="643"/>
      <c r="C3" s="643"/>
      <c r="D3" s="307" t="s">
        <v>196</v>
      </c>
      <c r="E3" s="317"/>
      <c r="F3" s="713"/>
      <c r="G3" s="802"/>
    </row>
    <row r="4" spans="2:9" ht="16.5" customHeight="1" x14ac:dyDescent="0.25">
      <c r="B4" s="643"/>
      <c r="C4" s="643"/>
      <c r="D4" s="308" t="s">
        <v>197</v>
      </c>
      <c r="E4" s="319" t="s">
        <v>198</v>
      </c>
      <c r="F4" s="309">
        <v>1</v>
      </c>
      <c r="G4" s="802"/>
    </row>
    <row r="5" spans="2:9" s="226" customFormat="1" ht="16.5" customHeight="1" x14ac:dyDescent="0.25">
      <c r="B5" s="643"/>
      <c r="C5" s="643"/>
      <c r="D5" s="642" t="s">
        <v>199</v>
      </c>
      <c r="E5" s="320" t="s">
        <v>200</v>
      </c>
      <c r="F5" s="307" t="s">
        <v>201</v>
      </c>
      <c r="G5" s="802"/>
      <c r="H5" s="227"/>
    </row>
    <row r="6" spans="2:9" s="226" customFormat="1" x14ac:dyDescent="0.25">
      <c r="B6" s="643"/>
      <c r="C6" s="643"/>
      <c r="D6" s="642"/>
      <c r="E6" s="315"/>
      <c r="F6" s="310">
        <v>44216</v>
      </c>
      <c r="G6" s="802"/>
      <c r="H6" s="227"/>
    </row>
    <row r="7" spans="2:9" s="226" customFormat="1" ht="16.5" customHeight="1" thickBot="1" x14ac:dyDescent="0.35">
      <c r="B7" s="194"/>
      <c r="C7" s="194"/>
      <c r="D7" s="194"/>
      <c r="E7" s="194"/>
      <c r="F7" s="194"/>
      <c r="G7" s="194"/>
      <c r="H7" s="311"/>
      <c r="I7" s="227"/>
    </row>
    <row r="8" spans="2:9" s="226" customFormat="1" ht="14.4" x14ac:dyDescent="0.3">
      <c r="B8" s="803" t="str">
        <f>Presupuesto!A8</f>
        <v>ADECUACION Y MEJORAMIENTO DE AULAS ESCOLARES UBICADA EN LA INSTITUCION EDUCATIVA TECNICO COMERCIAL LA DORADA SEDE ESCUELA CENTRAL DEL MUNICIPIO DE SAN MIGUEL PUTUMAYO</v>
      </c>
      <c r="C8" s="804"/>
      <c r="D8" s="804"/>
      <c r="E8" s="804"/>
      <c r="F8" s="804"/>
      <c r="G8" s="804"/>
      <c r="H8"/>
      <c r="I8" s="227"/>
    </row>
    <row r="9" spans="2:9" s="226" customFormat="1" ht="35.25" customHeight="1" thickBot="1" x14ac:dyDescent="0.35">
      <c r="B9" s="805"/>
      <c r="C9" s="806"/>
      <c r="D9" s="806"/>
      <c r="E9" s="806"/>
      <c r="F9" s="806"/>
      <c r="G9" s="806"/>
      <c r="H9"/>
      <c r="I9" s="227"/>
    </row>
    <row r="10" spans="2:9" x14ac:dyDescent="0.25">
      <c r="B10" s="201"/>
      <c r="G10" s="228"/>
    </row>
    <row r="11" spans="2:9" x14ac:dyDescent="0.25">
      <c r="B11" s="812" t="s">
        <v>179</v>
      </c>
      <c r="C11" s="813"/>
      <c r="D11" s="813"/>
      <c r="E11" s="813"/>
      <c r="F11" s="814"/>
      <c r="G11" s="236" t="s">
        <v>57</v>
      </c>
    </row>
    <row r="12" spans="2:9" x14ac:dyDescent="0.25">
      <c r="B12" s="229" t="s">
        <v>78</v>
      </c>
      <c r="C12" s="199"/>
      <c r="D12" s="807" t="s">
        <v>79</v>
      </c>
      <c r="E12" s="808"/>
      <c r="F12" s="221"/>
      <c r="G12" s="221">
        <v>100</v>
      </c>
    </row>
    <row r="13" spans="2:9" x14ac:dyDescent="0.25">
      <c r="B13" s="229" t="s">
        <v>80</v>
      </c>
      <c r="C13" s="199"/>
      <c r="D13" s="807" t="s">
        <v>81</v>
      </c>
      <c r="E13" s="808"/>
      <c r="F13" s="221"/>
      <c r="G13" s="221">
        <f>SUM(G14:G29)</f>
        <v>75.432000000000002</v>
      </c>
    </row>
    <row r="14" spans="2:9" x14ac:dyDescent="0.25">
      <c r="B14" s="229"/>
      <c r="C14" s="199" t="s">
        <v>82</v>
      </c>
      <c r="D14" s="737" t="s">
        <v>83</v>
      </c>
      <c r="E14" s="738"/>
      <c r="F14" s="231" t="s">
        <v>84</v>
      </c>
      <c r="G14" s="221">
        <v>8.33</v>
      </c>
    </row>
    <row r="15" spans="2:9" x14ac:dyDescent="0.25">
      <c r="B15" s="229"/>
      <c r="C15" s="199" t="s">
        <v>85</v>
      </c>
      <c r="D15" s="737" t="s">
        <v>86</v>
      </c>
      <c r="E15" s="738"/>
      <c r="F15" s="231" t="s">
        <v>87</v>
      </c>
      <c r="G15" s="221">
        <v>1</v>
      </c>
    </row>
    <row r="16" spans="2:9" x14ac:dyDescent="0.25">
      <c r="B16" s="229"/>
      <c r="C16" s="199" t="s">
        <v>88</v>
      </c>
      <c r="D16" s="737" t="s">
        <v>89</v>
      </c>
      <c r="E16" s="738"/>
      <c r="F16" s="231" t="s">
        <v>84</v>
      </c>
      <c r="G16" s="221">
        <v>8.33</v>
      </c>
    </row>
    <row r="17" spans="2:7" x14ac:dyDescent="0.25">
      <c r="B17" s="229"/>
      <c r="C17" s="199" t="s">
        <v>90</v>
      </c>
      <c r="D17" s="737" t="s">
        <v>91</v>
      </c>
      <c r="E17" s="738"/>
      <c r="F17" s="230" t="s">
        <v>92</v>
      </c>
      <c r="G17" s="221">
        <v>4</v>
      </c>
    </row>
    <row r="18" spans="2:7" x14ac:dyDescent="0.25">
      <c r="B18" s="229"/>
      <c r="C18" s="199" t="s">
        <v>93</v>
      </c>
      <c r="D18" s="737" t="s">
        <v>94</v>
      </c>
      <c r="E18" s="738"/>
      <c r="F18" s="230" t="s">
        <v>92</v>
      </c>
      <c r="G18" s="221">
        <v>2</v>
      </c>
    </row>
    <row r="19" spans="2:7" x14ac:dyDescent="0.25">
      <c r="B19" s="229"/>
      <c r="C19" s="199" t="s">
        <v>95</v>
      </c>
      <c r="D19" s="737" t="s">
        <v>96</v>
      </c>
      <c r="E19" s="738"/>
      <c r="F19" s="230" t="s">
        <v>92</v>
      </c>
      <c r="G19" s="221">
        <v>3</v>
      </c>
    </row>
    <row r="20" spans="2:7" x14ac:dyDescent="0.25">
      <c r="B20" s="229"/>
      <c r="C20" s="199" t="s">
        <v>97</v>
      </c>
      <c r="D20" s="737" t="s">
        <v>98</v>
      </c>
      <c r="E20" s="738"/>
      <c r="F20" s="230" t="s">
        <v>92</v>
      </c>
      <c r="G20" s="221">
        <v>8.5</v>
      </c>
    </row>
    <row r="21" spans="2:7" x14ac:dyDescent="0.25">
      <c r="B21" s="229"/>
      <c r="C21" s="199" t="s">
        <v>99</v>
      </c>
      <c r="D21" s="737" t="s">
        <v>100</v>
      </c>
      <c r="E21" s="738"/>
      <c r="F21" s="230" t="s">
        <v>92</v>
      </c>
      <c r="G21" s="221">
        <v>12</v>
      </c>
    </row>
    <row r="22" spans="2:7" x14ac:dyDescent="0.25">
      <c r="B22" s="229"/>
      <c r="C22" s="199" t="s">
        <v>101</v>
      </c>
      <c r="D22" s="737" t="s">
        <v>102</v>
      </c>
      <c r="E22" s="738"/>
      <c r="F22" s="230" t="s">
        <v>92</v>
      </c>
      <c r="G22" s="221">
        <v>6.96</v>
      </c>
    </row>
    <row r="23" spans="2:7" x14ac:dyDescent="0.25">
      <c r="B23" s="229"/>
      <c r="C23" s="199" t="s">
        <v>103</v>
      </c>
      <c r="D23" s="737" t="s">
        <v>104</v>
      </c>
      <c r="E23" s="738"/>
      <c r="F23" s="230" t="s">
        <v>92</v>
      </c>
      <c r="G23" s="221">
        <v>0.52200000000000002</v>
      </c>
    </row>
    <row r="24" spans="2:7" x14ac:dyDescent="0.25">
      <c r="B24" s="229"/>
      <c r="C24" s="199" t="s">
        <v>105</v>
      </c>
      <c r="D24" s="737" t="s">
        <v>106</v>
      </c>
      <c r="E24" s="738"/>
      <c r="F24" s="231" t="s">
        <v>107</v>
      </c>
      <c r="G24" s="221">
        <v>4.17</v>
      </c>
    </row>
    <row r="25" spans="2:7" x14ac:dyDescent="0.25">
      <c r="B25" s="229"/>
      <c r="C25" s="199" t="s">
        <v>108</v>
      </c>
      <c r="D25" s="809" t="s">
        <v>109</v>
      </c>
      <c r="E25" s="810"/>
      <c r="F25" s="232" t="s">
        <v>110</v>
      </c>
      <c r="G25" s="233">
        <v>0.83</v>
      </c>
    </row>
    <row r="26" spans="2:7" x14ac:dyDescent="0.25">
      <c r="B26" s="229"/>
      <c r="C26" s="199" t="s">
        <v>111</v>
      </c>
      <c r="D26" s="737" t="s">
        <v>112</v>
      </c>
      <c r="E26" s="738"/>
      <c r="F26" s="230" t="s">
        <v>92</v>
      </c>
      <c r="G26" s="221">
        <v>11.71</v>
      </c>
    </row>
    <row r="27" spans="2:7" x14ac:dyDescent="0.25">
      <c r="B27" s="229"/>
      <c r="C27" s="199" t="s">
        <v>113</v>
      </c>
      <c r="D27" s="809" t="s">
        <v>114</v>
      </c>
      <c r="E27" s="810"/>
      <c r="F27" s="234" t="s">
        <v>92</v>
      </c>
      <c r="G27" s="233">
        <v>0.08</v>
      </c>
    </row>
    <row r="28" spans="2:7" x14ac:dyDescent="0.25">
      <c r="B28" s="229"/>
      <c r="C28" s="199" t="s">
        <v>115</v>
      </c>
      <c r="D28" s="809" t="s">
        <v>116</v>
      </c>
      <c r="E28" s="810"/>
      <c r="F28" s="234" t="s">
        <v>92</v>
      </c>
      <c r="G28" s="233">
        <v>2</v>
      </c>
    </row>
    <row r="29" spans="2:7" x14ac:dyDescent="0.25">
      <c r="B29" s="229"/>
      <c r="C29" s="199" t="s">
        <v>117</v>
      </c>
      <c r="D29" s="737" t="s">
        <v>118</v>
      </c>
      <c r="E29" s="738"/>
      <c r="F29" s="234" t="s">
        <v>92</v>
      </c>
      <c r="G29" s="221">
        <v>2</v>
      </c>
    </row>
    <row r="30" spans="2:7" x14ac:dyDescent="0.25">
      <c r="B30" s="229" t="s">
        <v>119</v>
      </c>
      <c r="C30" s="199"/>
      <c r="D30" s="807" t="s">
        <v>120</v>
      </c>
      <c r="E30" s="808"/>
      <c r="F30" s="231"/>
      <c r="G30" s="237">
        <f>G12+G13</f>
        <v>175.43200000000002</v>
      </c>
    </row>
    <row r="31" spans="2:7" x14ac:dyDescent="0.25">
      <c r="B31" s="229"/>
      <c r="C31" s="199"/>
      <c r="D31" s="807"/>
      <c r="E31" s="808"/>
      <c r="F31" s="231"/>
      <c r="G31" s="221"/>
    </row>
    <row r="32" spans="2:7" x14ac:dyDescent="0.25">
      <c r="B32" s="229" t="s">
        <v>121</v>
      </c>
      <c r="C32" s="199"/>
      <c r="D32" s="807" t="s">
        <v>122</v>
      </c>
      <c r="E32" s="808"/>
      <c r="F32" s="231"/>
      <c r="G32" s="221">
        <f>G30</f>
        <v>175.43200000000002</v>
      </c>
    </row>
    <row r="33" spans="2:7" x14ac:dyDescent="0.25">
      <c r="B33" s="199"/>
      <c r="C33" s="199"/>
      <c r="D33" s="807" t="s">
        <v>123</v>
      </c>
      <c r="E33" s="808"/>
      <c r="F33" s="238"/>
      <c r="G33" s="237">
        <f>ROUND(G32/100,2)</f>
        <v>1.75</v>
      </c>
    </row>
    <row r="34" spans="2:7" x14ac:dyDescent="0.25">
      <c r="B34" s="201"/>
      <c r="E34" s="235"/>
    </row>
    <row r="35" spans="2:7" x14ac:dyDescent="0.25">
      <c r="B35" s="201"/>
    </row>
    <row r="36" spans="2:7" x14ac:dyDescent="0.25">
      <c r="B36" s="201"/>
    </row>
    <row r="37" spans="2:7" ht="15.75" customHeight="1" x14ac:dyDescent="0.25">
      <c r="B37" s="215" t="str">
        <f>+Presupuesto!D65</f>
        <v>ARQ. GUILLERMO YAMID VALLEJOS BENAVIDES</v>
      </c>
      <c r="C37" s="215"/>
      <c r="D37" s="224"/>
      <c r="E37" s="241"/>
      <c r="F37" s="242"/>
      <c r="G37" s="243"/>
    </row>
    <row r="38" spans="2:7" ht="15.75" customHeight="1" x14ac:dyDescent="0.25">
      <c r="B38" s="202" t="str">
        <f>+Presupuesto!D66</f>
        <v>SECRETARIO DE PLANEACION Y OBRAS PUBLICAS</v>
      </c>
      <c r="C38" s="239"/>
      <c r="D38" s="239"/>
      <c r="E38" s="240"/>
      <c r="F38" s="200"/>
      <c r="G38" s="202"/>
    </row>
    <row r="39" spans="2:7" ht="15.75" customHeight="1" x14ac:dyDescent="0.25">
      <c r="B39" s="202" t="str">
        <f>+Presupuesto!D67</f>
        <v>SAN MIGUEL - PUTUMAYO</v>
      </c>
      <c r="F39" s="200"/>
      <c r="G39" s="202"/>
    </row>
    <row r="42" spans="2:7" x14ac:dyDescent="0.25">
      <c r="B42" s="815"/>
      <c r="C42" s="815"/>
      <c r="D42" s="815"/>
    </row>
    <row r="43" spans="2:7" x14ac:dyDescent="0.25">
      <c r="B43" s="811"/>
      <c r="C43" s="811"/>
      <c r="D43" s="811"/>
    </row>
  </sheetData>
  <mergeCells count="31">
    <mergeCell ref="B43:D43"/>
    <mergeCell ref="B11:F11"/>
    <mergeCell ref="B42:D42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30:E30"/>
    <mergeCell ref="D31:E31"/>
    <mergeCell ref="D33:E33"/>
    <mergeCell ref="D32:E32"/>
    <mergeCell ref="D25:E25"/>
    <mergeCell ref="D27:E27"/>
    <mergeCell ref="D26:E26"/>
    <mergeCell ref="D28:E28"/>
    <mergeCell ref="D29:E29"/>
    <mergeCell ref="G1:G6"/>
    <mergeCell ref="B8:G9"/>
    <mergeCell ref="B1:C6"/>
    <mergeCell ref="D1:D2"/>
    <mergeCell ref="F2:F3"/>
    <mergeCell ref="D5:D6"/>
  </mergeCells>
  <printOptions horizontalCentered="1" verticalCentered="1" gridLinesSet="0"/>
  <pageMargins left="0.39370078740157483" right="0" top="0" bottom="0" header="0.51181102362204722" footer="0.51181102362204722"/>
  <pageSetup scale="9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view="pageBreakPreview" topLeftCell="I5" zoomScale="130" zoomScaleNormal="100" zoomScaleSheetLayoutView="130" workbookViewId="0">
      <selection activeCell="M34" sqref="M34"/>
    </sheetView>
  </sheetViews>
  <sheetFormatPr baseColWidth="10" defaultColWidth="11.44140625" defaultRowHeight="13.8" x14ac:dyDescent="0.3"/>
  <cols>
    <col min="1" max="1" width="11.44140625" style="181"/>
    <col min="2" max="2" width="15.6640625" style="181" customWidth="1"/>
    <col min="3" max="3" width="35.5546875" style="181" customWidth="1"/>
    <col min="4" max="5" width="11.44140625" style="181"/>
    <col min="6" max="6" width="12.33203125" style="181" bestFit="1" customWidth="1"/>
    <col min="7" max="7" width="15.44140625" style="181" bestFit="1" customWidth="1"/>
    <col min="8" max="8" width="12.88671875" style="181" bestFit="1" customWidth="1"/>
    <col min="9" max="9" width="16.33203125" style="462" bestFit="1" customWidth="1"/>
    <col min="10" max="10" width="17.109375" style="462" bestFit="1" customWidth="1"/>
    <col min="11" max="12" width="13.88671875" style="181" bestFit="1" customWidth="1"/>
    <col min="13" max="13" width="15.109375" style="181" bestFit="1" customWidth="1"/>
    <col min="14" max="14" width="13.44140625" style="181" bestFit="1" customWidth="1"/>
    <col min="15" max="16384" width="11.44140625" style="181"/>
  </cols>
  <sheetData>
    <row r="1" spans="1:12" ht="15" customHeight="1" x14ac:dyDescent="0.3">
      <c r="A1" s="839"/>
      <c r="B1" s="830"/>
      <c r="C1" s="842" t="s">
        <v>224</v>
      </c>
      <c r="D1" s="842"/>
      <c r="E1" s="856" t="s">
        <v>225</v>
      </c>
      <c r="F1" s="857"/>
      <c r="G1" s="857">
        <v>103</v>
      </c>
      <c r="H1" s="872"/>
      <c r="I1" s="865"/>
      <c r="J1" s="866"/>
    </row>
    <row r="2" spans="1:12" ht="15" customHeight="1" x14ac:dyDescent="0.3">
      <c r="A2" s="840"/>
      <c r="B2" s="831"/>
      <c r="C2" s="843"/>
      <c r="D2" s="843"/>
      <c r="E2" s="634" t="s">
        <v>195</v>
      </c>
      <c r="F2" s="635"/>
      <c r="G2" s="873">
        <v>51</v>
      </c>
      <c r="H2" s="874"/>
      <c r="I2" s="867"/>
      <c r="J2" s="868"/>
    </row>
    <row r="3" spans="1:12" ht="15" customHeight="1" x14ac:dyDescent="0.3">
      <c r="A3" s="840"/>
      <c r="B3" s="831"/>
      <c r="C3" s="844" t="s">
        <v>196</v>
      </c>
      <c r="D3" s="845"/>
      <c r="E3" s="636"/>
      <c r="F3" s="637"/>
      <c r="G3" s="875"/>
      <c r="H3" s="876"/>
      <c r="I3" s="867"/>
      <c r="J3" s="868"/>
    </row>
    <row r="4" spans="1:12" ht="15" customHeight="1" x14ac:dyDescent="0.3">
      <c r="A4" s="840"/>
      <c r="B4" s="831"/>
      <c r="C4" s="846" t="s">
        <v>197</v>
      </c>
      <c r="D4" s="847"/>
      <c r="E4" s="640" t="s">
        <v>198</v>
      </c>
      <c r="F4" s="691"/>
      <c r="G4" s="689">
        <v>1</v>
      </c>
      <c r="H4" s="689"/>
      <c r="I4" s="867"/>
      <c r="J4" s="868"/>
    </row>
    <row r="5" spans="1:12" ht="16.5" customHeight="1" x14ac:dyDescent="0.3">
      <c r="A5" s="840"/>
      <c r="B5" s="831"/>
      <c r="C5" s="634" t="s">
        <v>199</v>
      </c>
      <c r="D5" s="635"/>
      <c r="E5" s="634" t="s">
        <v>200</v>
      </c>
      <c r="F5" s="686"/>
      <c r="G5" s="693" t="s">
        <v>201</v>
      </c>
      <c r="H5" s="693"/>
      <c r="I5" s="867"/>
      <c r="J5" s="868"/>
    </row>
    <row r="6" spans="1:12" ht="15" customHeight="1" thickBot="1" x14ac:dyDescent="0.35">
      <c r="A6" s="841"/>
      <c r="B6" s="832"/>
      <c r="C6" s="848"/>
      <c r="D6" s="849"/>
      <c r="E6" s="848"/>
      <c r="F6" s="871"/>
      <c r="G6" s="696">
        <v>44216</v>
      </c>
      <c r="H6" s="696"/>
      <c r="I6" s="869"/>
      <c r="J6" s="870"/>
    </row>
    <row r="7" spans="1:12" ht="14.4" thickBot="1" x14ac:dyDescent="0.35">
      <c r="A7" s="374"/>
      <c r="B7" s="381"/>
      <c r="C7" s="381"/>
      <c r="D7" s="381"/>
      <c r="E7" s="381"/>
      <c r="F7" s="381"/>
      <c r="G7" s="381"/>
      <c r="H7" s="381"/>
      <c r="I7" s="460"/>
      <c r="J7" s="461"/>
    </row>
    <row r="8" spans="1:12" ht="15" customHeight="1" x14ac:dyDescent="0.3">
      <c r="A8" s="850" t="str">
        <f>Presupuesto!A8</f>
        <v>ADECUACION Y MEJORAMIENTO DE AULAS ESCOLARES UBICADA EN LA INSTITUCION EDUCATIVA TECNICO COMERCIAL LA DORADA SEDE ESCUELA CENTRAL DEL MUNICIPIO DE SAN MIGUEL PUTUMAYO</v>
      </c>
      <c r="B8" s="851"/>
      <c r="C8" s="851"/>
      <c r="D8" s="851"/>
      <c r="E8" s="851"/>
      <c r="F8" s="851"/>
      <c r="G8" s="851"/>
      <c r="H8" s="851"/>
      <c r="I8" s="851"/>
      <c r="J8" s="852"/>
      <c r="K8" s="377"/>
      <c r="L8" s="377"/>
    </row>
    <row r="9" spans="1:12" ht="38.25" customHeight="1" thickBot="1" x14ac:dyDescent="0.35">
      <c r="A9" s="853"/>
      <c r="B9" s="854"/>
      <c r="C9" s="854"/>
      <c r="D9" s="854"/>
      <c r="E9" s="854"/>
      <c r="F9" s="854"/>
      <c r="G9" s="854"/>
      <c r="H9" s="854"/>
      <c r="I9" s="854"/>
      <c r="J9" s="855"/>
      <c r="K9" s="377"/>
      <c r="L9" s="377"/>
    </row>
    <row r="10" spans="1:12" x14ac:dyDescent="0.3">
      <c r="A10" s="503"/>
      <c r="B10" s="504"/>
      <c r="C10" s="504"/>
      <c r="D10" s="504"/>
      <c r="E10" s="504"/>
      <c r="F10" s="504"/>
      <c r="G10" s="504"/>
      <c r="H10" s="504"/>
      <c r="I10" s="505"/>
      <c r="J10" s="505"/>
      <c r="K10" s="504"/>
      <c r="L10" s="506"/>
    </row>
    <row r="11" spans="1:12" ht="15" customHeight="1" thickBot="1" x14ac:dyDescent="0.35">
      <c r="A11" s="858" t="s">
        <v>190</v>
      </c>
      <c r="B11" s="859"/>
      <c r="C11" s="859"/>
      <c r="D11" s="859"/>
      <c r="E11" s="859"/>
      <c r="F11" s="859"/>
      <c r="G11" s="859"/>
      <c r="H11" s="859"/>
      <c r="I11" s="859"/>
      <c r="J11" s="859"/>
      <c r="K11" s="859"/>
      <c r="L11" s="860"/>
    </row>
    <row r="12" spans="1:12" x14ac:dyDescent="0.3">
      <c r="A12" s="326"/>
      <c r="B12" s="837"/>
      <c r="C12" s="838"/>
      <c r="D12" s="327"/>
      <c r="E12" s="327"/>
      <c r="F12" s="327"/>
      <c r="G12" s="327"/>
      <c r="H12" s="328"/>
      <c r="I12" s="463" t="s">
        <v>70</v>
      </c>
      <c r="J12" s="464" t="s">
        <v>71</v>
      </c>
      <c r="K12" s="509" t="s">
        <v>403</v>
      </c>
      <c r="L12" s="464" t="s">
        <v>404</v>
      </c>
    </row>
    <row r="13" spans="1:12" x14ac:dyDescent="0.3">
      <c r="A13" s="329" t="s">
        <v>3</v>
      </c>
      <c r="B13" s="835" t="s">
        <v>164</v>
      </c>
      <c r="C13" s="836"/>
      <c r="D13" s="330" t="s">
        <v>20</v>
      </c>
      <c r="E13" s="330" t="s">
        <v>21</v>
      </c>
      <c r="F13" s="330" t="s">
        <v>191</v>
      </c>
      <c r="G13" s="330" t="s">
        <v>192</v>
      </c>
      <c r="H13" s="427" t="s">
        <v>57</v>
      </c>
      <c r="I13" s="465"/>
      <c r="J13" s="507"/>
      <c r="K13" s="510"/>
      <c r="L13" s="510"/>
    </row>
    <row r="14" spans="1:12" x14ac:dyDescent="0.3">
      <c r="A14" s="357">
        <v>1</v>
      </c>
      <c r="B14" s="824" t="str">
        <f>Presupuesto!B15</f>
        <v xml:space="preserve">REPLANTEO Y LOCALIZACIÓN </v>
      </c>
      <c r="C14" s="826"/>
      <c r="D14" s="358"/>
      <c r="E14" s="358"/>
      <c r="F14" s="358"/>
      <c r="G14" s="358"/>
      <c r="H14" s="428"/>
      <c r="I14" s="466"/>
      <c r="J14" s="508"/>
      <c r="K14" s="511"/>
      <c r="L14" s="511"/>
    </row>
    <row r="15" spans="1:12" x14ac:dyDescent="0.3">
      <c r="A15" s="329">
        <f>Presupuesto!A15</f>
        <v>1.1000000000000001</v>
      </c>
      <c r="B15" s="861" t="str">
        <f>Presupuesto!B15</f>
        <v xml:space="preserve">REPLANTEO Y LOCALIZACIÓN </v>
      </c>
      <c r="C15" s="862"/>
      <c r="D15" s="344" t="str">
        <f>Presupuesto!D15</f>
        <v>M2</v>
      </c>
      <c r="E15" s="344">
        <f>Presupuesto!E15</f>
        <v>67.540000000000006</v>
      </c>
      <c r="F15" s="429">
        <f>Presupuesto!F15</f>
        <v>3483.34</v>
      </c>
      <c r="G15" s="437">
        <f t="shared" ref="G15:G21" si="0">ROUND(E15*F15,2)</f>
        <v>235264.78</v>
      </c>
      <c r="H15" s="346">
        <f>G15/G60</f>
        <v>4.7998555566211099E-3</v>
      </c>
      <c r="I15" s="465">
        <f>G15</f>
        <v>235264.78</v>
      </c>
      <c r="J15" s="465"/>
      <c r="K15" s="510"/>
      <c r="L15" s="510"/>
    </row>
    <row r="16" spans="1:12" x14ac:dyDescent="0.3">
      <c r="A16" s="490">
        <v>1.2</v>
      </c>
      <c r="B16" s="618" t="s">
        <v>439</v>
      </c>
      <c r="C16" s="624"/>
      <c r="D16" s="344" t="str">
        <f>+Presupuesto!D16</f>
        <v>ML</v>
      </c>
      <c r="E16" s="344">
        <f>+'MEMORIA DE CANTIDADES DE OBRA '!J32</f>
        <v>12</v>
      </c>
      <c r="F16" s="429">
        <f>+APU!H99</f>
        <v>9437.9500000000007</v>
      </c>
      <c r="G16" s="437">
        <f t="shared" si="0"/>
        <v>113255.4</v>
      </c>
      <c r="H16" s="346">
        <f>G16/G60</f>
        <v>2.3106287350250485E-3</v>
      </c>
      <c r="I16" s="465">
        <f>+G16</f>
        <v>113255.4</v>
      </c>
      <c r="J16" s="465"/>
      <c r="K16" s="510"/>
      <c r="L16" s="510"/>
    </row>
    <row r="17" spans="1:12" ht="30" customHeight="1" x14ac:dyDescent="0.3">
      <c r="A17" s="329">
        <f>Presupuesto!A17</f>
        <v>1.3</v>
      </c>
      <c r="B17" s="863" t="str">
        <f>Presupuesto!B17</f>
        <v>DEMOLICION DE PLACA EN CONCRETO REFORZADO ENTREPISO AULA 2</v>
      </c>
      <c r="C17" s="864"/>
      <c r="D17" s="344" t="str">
        <f>Presupuesto!D17</f>
        <v>M2</v>
      </c>
      <c r="E17" s="344">
        <f>Presupuesto!E17</f>
        <v>26.46</v>
      </c>
      <c r="F17" s="429">
        <f>Presupuesto!F17</f>
        <v>102816.66</v>
      </c>
      <c r="G17" s="437">
        <f t="shared" si="0"/>
        <v>2720528.82</v>
      </c>
      <c r="H17" s="346">
        <f>G17/G60</f>
        <v>5.5504038358928476E-2</v>
      </c>
      <c r="I17" s="465"/>
      <c r="J17" s="465">
        <f>+G17</f>
        <v>2720528.82</v>
      </c>
      <c r="K17" s="510"/>
      <c r="L17" s="510"/>
    </row>
    <row r="18" spans="1:12" x14ac:dyDescent="0.3">
      <c r="A18" s="329">
        <f>Presupuesto!A18</f>
        <v>1.4</v>
      </c>
      <c r="B18" s="861" t="str">
        <f>Presupuesto!B18</f>
        <v>DESMONTE DE CUBIERTA EXISTENTE</v>
      </c>
      <c r="C18" s="862"/>
      <c r="D18" s="344" t="str">
        <f>Presupuesto!D18</f>
        <v>M2</v>
      </c>
      <c r="E18" s="344">
        <f>Presupuesto!E18</f>
        <v>88.24</v>
      </c>
      <c r="F18" s="429">
        <f>Presupuesto!F18</f>
        <v>20410</v>
      </c>
      <c r="G18" s="437">
        <f t="shared" si="0"/>
        <v>1800978.4</v>
      </c>
      <c r="H18" s="346">
        <f>G18/G60</f>
        <v>3.6743435122735306E-2</v>
      </c>
      <c r="I18" s="465">
        <f>G18/2</f>
        <v>900489.2</v>
      </c>
      <c r="J18" s="465">
        <f>G18/2</f>
        <v>900489.2</v>
      </c>
      <c r="K18" s="510"/>
      <c r="L18" s="510"/>
    </row>
    <row r="19" spans="1:12" x14ac:dyDescent="0.3">
      <c r="A19" s="329">
        <f>Presupuesto!A19</f>
        <v>1.5</v>
      </c>
      <c r="B19" s="861" t="str">
        <f>Presupuesto!B19</f>
        <v>DEMOLICION MANUAL LOSA EN CONCRETO DE AULA 1</v>
      </c>
      <c r="C19" s="862"/>
      <c r="D19" s="344" t="str">
        <f>Presupuesto!D19</f>
        <v>M2</v>
      </c>
      <c r="E19" s="344">
        <f>Presupuesto!E19</f>
        <v>6.6</v>
      </c>
      <c r="F19" s="429">
        <f>Presupuesto!F19</f>
        <v>20300</v>
      </c>
      <c r="G19" s="437">
        <f t="shared" si="0"/>
        <v>133980</v>
      </c>
      <c r="H19" s="346">
        <f>G19/G60</f>
        <v>2.7334505720579862E-3</v>
      </c>
      <c r="I19" s="465">
        <f>G19</f>
        <v>133980</v>
      </c>
      <c r="J19" s="465"/>
      <c r="K19" s="510"/>
      <c r="L19" s="510"/>
    </row>
    <row r="20" spans="1:12" x14ac:dyDescent="0.3">
      <c r="A20" s="490">
        <v>1.5</v>
      </c>
      <c r="B20" s="618" t="s">
        <v>437</v>
      </c>
      <c r="C20" s="624"/>
      <c r="D20" s="344" t="str">
        <f>Presupuesto!D20</f>
        <v>M2</v>
      </c>
      <c r="E20" s="344">
        <f>Presupuesto!E20</f>
        <v>10.4</v>
      </c>
      <c r="F20" s="429">
        <f>Presupuesto!F20</f>
        <v>33805.56</v>
      </c>
      <c r="G20" s="437">
        <f t="shared" si="0"/>
        <v>351577.82</v>
      </c>
      <c r="H20" s="346">
        <f>G20/G60</f>
        <v>7.1728660486781587E-3</v>
      </c>
      <c r="I20" s="465">
        <f>+G20</f>
        <v>351577.82</v>
      </c>
      <c r="J20" s="465"/>
      <c r="K20" s="510"/>
      <c r="L20" s="510"/>
    </row>
    <row r="21" spans="1:12" x14ac:dyDescent="0.3">
      <c r="A21" s="329">
        <f>Presupuesto!A21</f>
        <v>1.7</v>
      </c>
      <c r="B21" s="861" t="str">
        <f>Presupuesto!B21</f>
        <v>RETIRO Y DISPOSICION DE MATERIAL SOBRANTE</v>
      </c>
      <c r="C21" s="862"/>
      <c r="D21" s="344" t="str">
        <f>Presupuesto!D21</f>
        <v>M3</v>
      </c>
      <c r="E21" s="344">
        <f>Presupuesto!E21</f>
        <v>31.08</v>
      </c>
      <c r="F21" s="429">
        <f>Presupuesto!F21</f>
        <v>39630</v>
      </c>
      <c r="G21" s="437">
        <f t="shared" si="0"/>
        <v>1231700.3999999999</v>
      </c>
      <c r="H21" s="346">
        <f>G21/G60</f>
        <v>2.5129065255889312E-2</v>
      </c>
      <c r="I21" s="465">
        <f>G21/2</f>
        <v>615850.19999999995</v>
      </c>
      <c r="J21" s="465">
        <f>G21/2</f>
        <v>615850.19999999995</v>
      </c>
      <c r="K21" s="510"/>
      <c r="L21" s="510"/>
    </row>
    <row r="22" spans="1:12" x14ac:dyDescent="0.3">
      <c r="A22" s="329"/>
      <c r="B22" s="861"/>
      <c r="C22" s="862"/>
      <c r="D22" s="344"/>
      <c r="E22" s="344"/>
      <c r="F22" s="429"/>
      <c r="G22" s="437"/>
      <c r="H22" s="346"/>
      <c r="I22" s="465"/>
      <c r="J22" s="465"/>
      <c r="K22" s="510"/>
      <c r="L22" s="510"/>
    </row>
    <row r="23" spans="1:12" x14ac:dyDescent="0.3">
      <c r="A23" s="357"/>
      <c r="B23" s="824" t="str">
        <f>Presupuesto!B23</f>
        <v>CIMENTACION, CONCRETOS Y MAMPOSTERIA</v>
      </c>
      <c r="C23" s="826"/>
      <c r="D23" s="358"/>
      <c r="E23" s="358"/>
      <c r="F23" s="358"/>
      <c r="G23" s="438"/>
      <c r="H23" s="428"/>
      <c r="I23" s="466"/>
      <c r="J23" s="508"/>
      <c r="K23" s="511"/>
      <c r="L23" s="511"/>
    </row>
    <row r="24" spans="1:12" x14ac:dyDescent="0.3">
      <c r="A24" s="329">
        <f>Presupuesto!A24</f>
        <v>2.1</v>
      </c>
      <c r="B24" s="827" t="str">
        <f>Presupuesto!B24</f>
        <v>EXCAVACION MANUAL EN MATERIAL COMUN</v>
      </c>
      <c r="C24" s="828"/>
      <c r="D24" s="344" t="str">
        <f>Presupuesto!D24</f>
        <v>M3</v>
      </c>
      <c r="E24" s="345">
        <f>Presupuesto!E24</f>
        <v>0.78</v>
      </c>
      <c r="F24" s="349">
        <f>Presupuesto!F24</f>
        <v>45718.75</v>
      </c>
      <c r="G24" s="437">
        <f t="shared" ref="G24:G30" si="1">ROUND(E24*F24,2)</f>
        <v>35660.629999999997</v>
      </c>
      <c r="H24" s="346">
        <f>G24/G60</f>
        <v>7.2754567452939373E-4</v>
      </c>
      <c r="I24" s="467"/>
      <c r="J24" s="467">
        <f>+G24</f>
        <v>35660.629999999997</v>
      </c>
      <c r="K24" s="512"/>
      <c r="L24" s="512"/>
    </row>
    <row r="25" spans="1:12" x14ac:dyDescent="0.3">
      <c r="A25" s="329">
        <f>Presupuesto!A25</f>
        <v>2.2000000000000002</v>
      </c>
      <c r="B25" s="827" t="str">
        <f>Presupuesto!B25</f>
        <v>RELLENO  Y COMPACTACION MATERIAL SELECCIONADO</v>
      </c>
      <c r="C25" s="828"/>
      <c r="D25" s="344" t="str">
        <f>Presupuesto!D25</f>
        <v>M3</v>
      </c>
      <c r="E25" s="345">
        <f>Presupuesto!E25</f>
        <v>0.77</v>
      </c>
      <c r="F25" s="349">
        <f>Presupuesto!F25</f>
        <v>100319.45</v>
      </c>
      <c r="G25" s="437">
        <f t="shared" si="1"/>
        <v>77245.98</v>
      </c>
      <c r="H25" s="346">
        <f>G25/G60</f>
        <v>1.5759670713552749E-3</v>
      </c>
      <c r="I25" s="467"/>
      <c r="J25" s="467">
        <f>+G25</f>
        <v>77245.98</v>
      </c>
      <c r="K25" s="512"/>
      <c r="L25" s="512"/>
    </row>
    <row r="26" spans="1:12" x14ac:dyDescent="0.3">
      <c r="A26" s="329">
        <f>Presupuesto!A26</f>
        <v>2.2999999999999998</v>
      </c>
      <c r="B26" s="827" t="str">
        <f>Presupuesto!B26</f>
        <v>SOLADO LIMPIEZA E=0.05 R-14MPA</v>
      </c>
      <c r="C26" s="828"/>
      <c r="D26" s="344" t="str">
        <f>Presupuesto!D26</f>
        <v>M2</v>
      </c>
      <c r="E26" s="345">
        <f>Presupuesto!E26</f>
        <v>1.1200000000000001</v>
      </c>
      <c r="F26" s="349">
        <f>Presupuesto!F26</f>
        <v>43919.75</v>
      </c>
      <c r="G26" s="437">
        <f t="shared" si="1"/>
        <v>49190.12</v>
      </c>
      <c r="H26" s="346">
        <f>G26/G60</f>
        <v>1.0035733815017241E-3</v>
      </c>
      <c r="I26" s="467"/>
      <c r="J26" s="467">
        <f>+G26</f>
        <v>49190.12</v>
      </c>
      <c r="K26" s="512"/>
      <c r="L26" s="512"/>
    </row>
    <row r="27" spans="1:12" x14ac:dyDescent="0.3">
      <c r="A27" s="329">
        <f>Presupuesto!A27</f>
        <v>2.4</v>
      </c>
      <c r="B27" s="827" t="str">
        <f>Presupuesto!B27</f>
        <v>CONCRETO PARA ZAPATAS R-21MPA</v>
      </c>
      <c r="C27" s="828"/>
      <c r="D27" s="344" t="str">
        <f>Presupuesto!D27</f>
        <v>M3</v>
      </c>
      <c r="E27" s="345">
        <f>Presupuesto!E27</f>
        <v>0.28000000000000003</v>
      </c>
      <c r="F27" s="349">
        <f>Presupuesto!F27</f>
        <v>1353271</v>
      </c>
      <c r="G27" s="437">
        <f t="shared" si="1"/>
        <v>378915.88</v>
      </c>
      <c r="H27" s="346">
        <f>G27/G60</f>
        <v>7.7306152332277597E-3</v>
      </c>
      <c r="I27" s="467"/>
      <c r="J27" s="467">
        <f>+G27</f>
        <v>378915.88</v>
      </c>
      <c r="K27" s="512"/>
      <c r="L27" s="512"/>
    </row>
    <row r="28" spans="1:12" x14ac:dyDescent="0.3">
      <c r="A28" s="329">
        <f>Presupuesto!A28</f>
        <v>2.5</v>
      </c>
      <c r="B28" s="827" t="str">
        <f>Presupuesto!B28</f>
        <v>CONCRETO VIGA AEREA</v>
      </c>
      <c r="C28" s="828"/>
      <c r="D28" s="344" t="str">
        <f>Presupuesto!D28</f>
        <v>M3</v>
      </c>
      <c r="E28" s="345">
        <f>Presupuesto!E28</f>
        <v>0.39</v>
      </c>
      <c r="F28" s="349">
        <f>Presupuesto!F28</f>
        <v>1353271</v>
      </c>
      <c r="G28" s="437">
        <f t="shared" si="1"/>
        <v>527775.68999999994</v>
      </c>
      <c r="H28" s="346">
        <f>G28/G60</f>
        <v>1.076764264628152E-2</v>
      </c>
      <c r="I28" s="467"/>
      <c r="J28" s="468"/>
      <c r="K28" s="512">
        <f>+G28</f>
        <v>527775.68999999994</v>
      </c>
      <c r="L28" s="512"/>
    </row>
    <row r="29" spans="1:12" x14ac:dyDescent="0.3">
      <c r="A29" s="329">
        <f>Presupuesto!A29</f>
        <v>2.6</v>
      </c>
      <c r="B29" s="827" t="str">
        <f>Presupuesto!B29</f>
        <v>ACERO DE REFUERZO FY=420MPA, INCLUYE FIGURADO, AMARRE E INSTALACIÓN</v>
      </c>
      <c r="C29" s="828"/>
      <c r="D29" s="344" t="str">
        <f>Presupuesto!D29</f>
        <v>KG</v>
      </c>
      <c r="E29" s="345">
        <f>Presupuesto!E29</f>
        <v>159.11000000000001</v>
      </c>
      <c r="F29" s="349">
        <f>Presupuesto!F29</f>
        <v>14156.5</v>
      </c>
      <c r="G29" s="437">
        <f t="shared" si="1"/>
        <v>2252440.7200000002</v>
      </c>
      <c r="H29" s="346">
        <f>G29/G60</f>
        <v>4.5954137741533833E-2</v>
      </c>
      <c r="I29" s="467"/>
      <c r="J29" s="468">
        <f>+G29</f>
        <v>2252440.7200000002</v>
      </c>
      <c r="K29" s="512"/>
      <c r="L29" s="512"/>
    </row>
    <row r="30" spans="1:12" x14ac:dyDescent="0.3">
      <c r="A30" s="329">
        <f>Presupuesto!A30</f>
        <v>2.7</v>
      </c>
      <c r="B30" s="827" t="str">
        <f>Presupuesto!B30</f>
        <v>CONCRETO COLUMNAS. 21MPA (3000 PSI)</v>
      </c>
      <c r="C30" s="828"/>
      <c r="D30" s="344" t="str">
        <f>Presupuesto!D30</f>
        <v>M3</v>
      </c>
      <c r="E30" s="345">
        <f>Presupuesto!E30</f>
        <v>0.22</v>
      </c>
      <c r="F30" s="349">
        <f>Presupuesto!F30</f>
        <v>1686591.8</v>
      </c>
      <c r="G30" s="437">
        <f t="shared" si="1"/>
        <v>371050.2</v>
      </c>
      <c r="H30" s="346">
        <f>G30/G60</f>
        <v>7.5701401810138094E-3</v>
      </c>
      <c r="I30" s="467"/>
      <c r="J30" s="468"/>
      <c r="K30" s="512">
        <f>+G30</f>
        <v>371050.2</v>
      </c>
      <c r="L30" s="512"/>
    </row>
    <row r="31" spans="1:12" x14ac:dyDescent="0.3">
      <c r="A31" s="329">
        <f>Presupuesto!A31</f>
        <v>2.8</v>
      </c>
      <c r="B31" s="827" t="str">
        <f>Presupuesto!B31</f>
        <v>MURO EN LADRILLO FAROL NUMERO 4 VISTO</v>
      </c>
      <c r="C31" s="828"/>
      <c r="D31" s="344" t="str">
        <f>Presupuesto!D31</f>
        <v>M2</v>
      </c>
      <c r="E31" s="345">
        <f>Presupuesto!E31</f>
        <v>11.44</v>
      </c>
      <c r="F31" s="349">
        <f>Presupuesto!F31</f>
        <v>103718.62</v>
      </c>
      <c r="G31" s="437">
        <f>ROUND(E31*F31,2)</f>
        <v>1186541.01</v>
      </c>
      <c r="H31" s="346">
        <f>G31/G60</f>
        <v>2.4207726545415441E-2</v>
      </c>
      <c r="I31" s="467"/>
      <c r="J31" s="468"/>
      <c r="K31" s="512">
        <f>+G31</f>
        <v>1186541.01</v>
      </c>
      <c r="L31" s="512"/>
    </row>
    <row r="32" spans="1:12" x14ac:dyDescent="0.3">
      <c r="A32" s="372"/>
      <c r="B32" s="488"/>
      <c r="C32" s="489"/>
      <c r="D32" s="347"/>
      <c r="E32" s="348"/>
      <c r="F32" s="350"/>
      <c r="G32" s="437"/>
      <c r="H32" s="346"/>
      <c r="I32" s="468"/>
      <c r="J32" s="468"/>
      <c r="K32" s="512"/>
      <c r="L32" s="512"/>
    </row>
    <row r="33" spans="1:12" x14ac:dyDescent="0.3">
      <c r="A33" s="371"/>
      <c r="B33" s="824" t="str">
        <f>Presupuesto!B33</f>
        <v>MEJORAMIENTOS DE PISOS</v>
      </c>
      <c r="C33" s="825"/>
      <c r="D33" s="359"/>
      <c r="E33" s="360"/>
      <c r="F33" s="361"/>
      <c r="G33" s="439"/>
      <c r="H33" s="362"/>
      <c r="I33" s="469"/>
      <c r="J33" s="469"/>
      <c r="K33" s="513"/>
      <c r="L33" s="513"/>
    </row>
    <row r="34" spans="1:12" ht="27.6" customHeight="1" x14ac:dyDescent="0.3">
      <c r="A34" s="372">
        <f>Presupuesto!A34</f>
        <v>3.1</v>
      </c>
      <c r="B34" s="820" t="str">
        <f>Presupuesto!B34</f>
        <v>CONTRAPISO DE CONCRETO LIVIANO DE RESISTENCIA A COMPRESIÓN 2,5 MPA ESP 6 CM</v>
      </c>
      <c r="C34" s="821"/>
      <c r="D34" s="347" t="str">
        <f>Presupuesto!D34</f>
        <v>M2</v>
      </c>
      <c r="E34" s="348">
        <f>Presupuesto!E34</f>
        <v>5.88</v>
      </c>
      <c r="F34" s="350">
        <f>Presupuesto!F34</f>
        <v>41458.480000000003</v>
      </c>
      <c r="G34" s="437">
        <f>ROUND(E34*F34,2)</f>
        <v>243775.86</v>
      </c>
      <c r="H34" s="346">
        <f>G34/G60</f>
        <v>4.9734980144120582E-3</v>
      </c>
      <c r="I34" s="468">
        <f>+G34/2</f>
        <v>121887.93</v>
      </c>
      <c r="J34" s="468"/>
      <c r="K34" s="512">
        <f>+G34/2</f>
        <v>121887.93</v>
      </c>
      <c r="L34" s="512"/>
    </row>
    <row r="35" spans="1:12" x14ac:dyDescent="0.3">
      <c r="A35" s="372">
        <f>Presupuesto!A35</f>
        <v>3.2</v>
      </c>
      <c r="B35" s="820" t="str">
        <f>Presupuesto!B35</f>
        <v>SUMINISTRO E INSTALACIÓN DE CERAMICA PISO GENERAL (INCLUYE ALISTADO)</v>
      </c>
      <c r="C35" s="821"/>
      <c r="D35" s="347" t="str">
        <f>Presupuesto!D35</f>
        <v>M2</v>
      </c>
      <c r="E35" s="348">
        <f>Presupuesto!E35</f>
        <v>32.340000000000003</v>
      </c>
      <c r="F35" s="350">
        <f>Presupuesto!F35</f>
        <v>118250</v>
      </c>
      <c r="G35" s="437">
        <f t="shared" ref="G35:G36" si="2">ROUND(E35*F35,2)</f>
        <v>3824205</v>
      </c>
      <c r="H35" s="346">
        <f>G35/G60</f>
        <v>7.8021162448999939E-2</v>
      </c>
      <c r="I35" s="468"/>
      <c r="J35" s="468"/>
      <c r="K35" s="468">
        <f>+G35/2</f>
        <v>1912102.5</v>
      </c>
      <c r="L35" s="512">
        <f>+G35/2</f>
        <v>1912102.5</v>
      </c>
    </row>
    <row r="36" spans="1:12" x14ac:dyDescent="0.3">
      <c r="A36" s="372">
        <f>Presupuesto!A36</f>
        <v>3.3</v>
      </c>
      <c r="B36" s="820" t="str">
        <f>Presupuesto!B36</f>
        <v>GUARDAESCOBA EN CERAMICA</v>
      </c>
      <c r="C36" s="821"/>
      <c r="D36" s="347" t="str">
        <f>Presupuesto!D36</f>
        <v>ML</v>
      </c>
      <c r="E36" s="348">
        <f>Presupuesto!E36</f>
        <v>26.6</v>
      </c>
      <c r="F36" s="350">
        <f>Presupuesto!F36</f>
        <v>16275</v>
      </c>
      <c r="G36" s="437">
        <f t="shared" si="2"/>
        <v>432915</v>
      </c>
      <c r="H36" s="346">
        <f>G36/G60</f>
        <v>8.8323014957641666E-3</v>
      </c>
      <c r="I36" s="468"/>
      <c r="J36" s="522"/>
      <c r="K36" s="468"/>
      <c r="L36" s="512">
        <f>+G36</f>
        <v>432915</v>
      </c>
    </row>
    <row r="37" spans="1:12" x14ac:dyDescent="0.3">
      <c r="A37" s="371"/>
      <c r="B37" s="824" t="str">
        <f>Presupuesto!B38</f>
        <v>CUBIERTA</v>
      </c>
      <c r="C37" s="825"/>
      <c r="D37" s="359"/>
      <c r="E37" s="360"/>
      <c r="F37" s="361"/>
      <c r="G37" s="439"/>
      <c r="H37" s="362"/>
      <c r="I37" s="469"/>
      <c r="J37" s="469"/>
      <c r="K37" s="513"/>
      <c r="L37" s="513"/>
    </row>
    <row r="38" spans="1:12" ht="13.95" customHeight="1" x14ac:dyDescent="0.3">
      <c r="A38" s="372">
        <f>Presupuesto!A39</f>
        <v>4.0999999999999996</v>
      </c>
      <c r="B38" s="820" t="str">
        <f>Presupuesto!B39</f>
        <v>ESTRUCTURA METALICA PARA CUBIERTA EN PERFIL C Gr50  100 x 50 x 2.0mm x 6m (Incluye soldadura)</v>
      </c>
      <c r="C38" s="821"/>
      <c r="D38" s="347" t="str">
        <f>Presupuesto!D39</f>
        <v>KG</v>
      </c>
      <c r="E38" s="348">
        <f>Presupuesto!E39</f>
        <v>43.6</v>
      </c>
      <c r="F38" s="350">
        <f>Presupuesto!F39</f>
        <v>26940</v>
      </c>
      <c r="G38" s="437">
        <f>ROUND(E38*F38,2)</f>
        <v>1174584</v>
      </c>
      <c r="H38" s="346">
        <f>G38/G60</f>
        <v>2.3963780465219867E-2</v>
      </c>
      <c r="I38" s="468"/>
      <c r="J38" s="468"/>
      <c r="K38" s="512">
        <f>+G38</f>
        <v>1174584</v>
      </c>
      <c r="L38" s="512"/>
    </row>
    <row r="39" spans="1:12" ht="13.95" customHeight="1" x14ac:dyDescent="0.3">
      <c r="A39" s="372">
        <f>Presupuesto!A40</f>
        <v>4.2</v>
      </c>
      <c r="B39" s="820" t="str">
        <f>Presupuesto!B40</f>
        <v>SUMINISTRO E INSTALACION DE TEJA DURATECHO</v>
      </c>
      <c r="C39" s="821"/>
      <c r="D39" s="347" t="str">
        <f>Presupuesto!D40</f>
        <v>M2</v>
      </c>
      <c r="E39" s="348">
        <f>Presupuesto!E40</f>
        <v>65.680000000000007</v>
      </c>
      <c r="F39" s="350">
        <f>Presupuesto!F40</f>
        <v>60810.559999999998</v>
      </c>
      <c r="G39" s="437">
        <f>ROUND(E39*F39,2)</f>
        <v>3994037.58</v>
      </c>
      <c r="H39" s="346">
        <f>G39/G60</f>
        <v>8.1486074846037426E-2</v>
      </c>
      <c r="I39" s="468">
        <f>+G39</f>
        <v>3994037.58</v>
      </c>
      <c r="J39" s="468"/>
      <c r="K39" s="512"/>
      <c r="L39" s="512"/>
    </row>
    <row r="40" spans="1:12" x14ac:dyDescent="0.3">
      <c r="A40" s="372">
        <f>Presupuesto!A41</f>
        <v>4.3</v>
      </c>
      <c r="B40" s="605" t="s">
        <v>398</v>
      </c>
      <c r="C40" s="606"/>
      <c r="D40" s="491" t="s">
        <v>152</v>
      </c>
      <c r="E40" s="492">
        <f>+Presupuesto!E41</f>
        <v>9</v>
      </c>
      <c r="F40" s="350">
        <f>Presupuesto!F41</f>
        <v>56668.89</v>
      </c>
      <c r="G40" s="437">
        <f>ROUND(E40*F40,2)</f>
        <v>510020.01</v>
      </c>
      <c r="H40" s="346">
        <f>G40/G60</f>
        <v>1.0405392507057172E-2</v>
      </c>
      <c r="I40" s="468">
        <f>+G40</f>
        <v>510020.01</v>
      </c>
      <c r="J40" s="468"/>
      <c r="K40" s="512"/>
      <c r="L40" s="512"/>
    </row>
    <row r="41" spans="1:12" x14ac:dyDescent="0.3">
      <c r="A41" s="371"/>
      <c r="B41" s="824" t="str">
        <f>Presupuesto!B43</f>
        <v>ACABADOS</v>
      </c>
      <c r="C41" s="825"/>
      <c r="D41" s="359"/>
      <c r="E41" s="360"/>
      <c r="F41" s="361"/>
      <c r="G41" s="439"/>
      <c r="H41" s="362"/>
      <c r="I41" s="469"/>
      <c r="J41" s="469"/>
      <c r="K41" s="513"/>
      <c r="L41" s="513"/>
    </row>
    <row r="42" spans="1:12" ht="27" customHeight="1" x14ac:dyDescent="0.3">
      <c r="A42" s="372">
        <f>Presupuesto!A44</f>
        <v>5.0999999999999996</v>
      </c>
      <c r="B42" s="820" t="str">
        <f>Presupuesto!B44</f>
        <v>SUMINISTRO Y APLICACIÓN ESTUCO PLASTICO ACRILICO SOBRE MUROS</v>
      </c>
      <c r="C42" s="821"/>
      <c r="D42" s="347" t="str">
        <f>Presupuesto!D44</f>
        <v>M2</v>
      </c>
      <c r="E42" s="348">
        <f>Presupuesto!E44</f>
        <v>147.63</v>
      </c>
      <c r="F42" s="350">
        <f>Presupuesto!F44</f>
        <v>54143.75</v>
      </c>
      <c r="G42" s="437">
        <f t="shared" ref="G42:G46" si="3">ROUND(E42*F42,2)</f>
        <v>7993241.8099999996</v>
      </c>
      <c r="H42" s="346">
        <f>G42/G60</f>
        <v>0.16307755932334908</v>
      </c>
      <c r="I42" s="468"/>
      <c r="J42" s="468">
        <f>+G42/2</f>
        <v>3996620.9049999998</v>
      </c>
      <c r="K42" s="512">
        <f>+G42/2</f>
        <v>3996620.9049999998</v>
      </c>
      <c r="L42" s="512"/>
    </row>
    <row r="43" spans="1:12" ht="30" customHeight="1" x14ac:dyDescent="0.3">
      <c r="A43" s="372">
        <f>Presupuesto!A45</f>
        <v>5.2</v>
      </c>
      <c r="B43" s="820" t="str">
        <f>Presupuesto!B45</f>
        <v>SUMINISTRO Y APLICACIÓN PINTURA CORAZA PARA EXTERIORES 3 MANOS</v>
      </c>
      <c r="C43" s="821"/>
      <c r="D43" s="347" t="str">
        <f>Presupuesto!D45</f>
        <v>M2</v>
      </c>
      <c r="E43" s="348">
        <f>Presupuesto!E45</f>
        <v>147.63</v>
      </c>
      <c r="F43" s="350">
        <f>Presupuesto!F45</f>
        <v>14651.32</v>
      </c>
      <c r="G43" s="437">
        <f t="shared" si="3"/>
        <v>2162974.37</v>
      </c>
      <c r="H43" s="346">
        <f>G43/G60</f>
        <v>4.4128851537716542E-2</v>
      </c>
      <c r="I43" s="468"/>
      <c r="J43" s="468">
        <f>+G43/2</f>
        <v>1081487.1850000001</v>
      </c>
      <c r="K43" s="512"/>
      <c r="L43" s="512">
        <f>+G43/2</f>
        <v>1081487.1850000001</v>
      </c>
    </row>
    <row r="44" spans="1:12" ht="28.95" customHeight="1" x14ac:dyDescent="0.3">
      <c r="A44" s="372">
        <f>Presupuesto!A46</f>
        <v>5.3</v>
      </c>
      <c r="B44" s="820" t="str">
        <f>Presupuesto!B46</f>
        <v>VENTANA TIPO REJA EN MARCO GALVANIZADO BARRA CUADRADA MEDIDAS 3,43X1,5 m</v>
      </c>
      <c r="C44" s="821"/>
      <c r="D44" s="347" t="str">
        <f>Presupuesto!D46</f>
        <v>UND</v>
      </c>
      <c r="E44" s="348">
        <f>Presupuesto!E46</f>
        <v>1</v>
      </c>
      <c r="F44" s="350">
        <f>Presupuesto!F46</f>
        <v>1341437.5</v>
      </c>
      <c r="G44" s="437">
        <f t="shared" si="3"/>
        <v>1341437.5</v>
      </c>
      <c r="H44" s="346">
        <f>G44/G60</f>
        <v>2.7367913880840682E-2</v>
      </c>
      <c r="I44" s="468"/>
      <c r="J44" s="468"/>
      <c r="K44" s="512"/>
      <c r="L44" s="512">
        <f>+G44</f>
        <v>1341437.5</v>
      </c>
    </row>
    <row r="45" spans="1:12" ht="26.25" customHeight="1" x14ac:dyDescent="0.3">
      <c r="A45" s="372">
        <f>Presupuesto!A47</f>
        <v>5.4</v>
      </c>
      <c r="B45" s="820" t="str">
        <f>Presupuesto!B47</f>
        <v>VENTANA TIPO REJA EN MARCO GALVANIZADO BARRA CUADRADA MEDIDAS 1,40X1,50 m</v>
      </c>
      <c r="C45" s="821"/>
      <c r="D45" s="347" t="str">
        <f>Presupuesto!D47</f>
        <v>UND</v>
      </c>
      <c r="E45" s="348">
        <f>Presupuesto!E47</f>
        <v>1</v>
      </c>
      <c r="F45" s="350">
        <f>Presupuesto!F47</f>
        <v>691437.5</v>
      </c>
      <c r="G45" s="437">
        <f t="shared" si="3"/>
        <v>691437.5</v>
      </c>
      <c r="H45" s="346">
        <f>G45/G60</f>
        <v>1.4106659426163187E-2</v>
      </c>
      <c r="I45" s="468"/>
      <c r="J45" s="468"/>
      <c r="K45" s="512"/>
      <c r="L45" s="512">
        <f>+G45</f>
        <v>691437.5</v>
      </c>
    </row>
    <row r="46" spans="1:12" ht="29.25" customHeight="1" x14ac:dyDescent="0.3">
      <c r="A46" s="372">
        <f>Presupuesto!A48</f>
        <v>5.5</v>
      </c>
      <c r="B46" s="820" t="str">
        <f>Presupuesto!B48</f>
        <v>VENTANA TIPO REJA EN MARCO GALVANIZADO BARRA CUADRADA  MEDIDAS 1,98X1,45 M</v>
      </c>
      <c r="C46" s="821"/>
      <c r="D46" s="347" t="str">
        <f>Presupuesto!D48</f>
        <v>UND</v>
      </c>
      <c r="E46" s="348">
        <f>Presupuesto!E48</f>
        <v>1</v>
      </c>
      <c r="F46" s="350">
        <f>Presupuesto!F48</f>
        <v>1041437.5</v>
      </c>
      <c r="G46" s="437">
        <f t="shared" si="3"/>
        <v>1041437.5</v>
      </c>
      <c r="H46" s="346">
        <f>G46/G60</f>
        <v>2.1247334901758761E-2</v>
      </c>
      <c r="I46" s="468"/>
      <c r="J46" s="468">
        <f t="shared" ref="J46" si="4">G46</f>
        <v>1041437.5</v>
      </c>
      <c r="K46" s="512"/>
      <c r="L46" s="512"/>
    </row>
    <row r="47" spans="1:12" ht="29.25" customHeight="1" x14ac:dyDescent="0.3">
      <c r="A47" s="372">
        <f>Presupuesto!A49</f>
        <v>5.6</v>
      </c>
      <c r="B47" s="820" t="str">
        <f>Presupuesto!B49</f>
        <v>SUMINISTRO E INSTALACION DE PUERTA METALICA   MEDIDAS 1,20X2,3M</v>
      </c>
      <c r="C47" s="821"/>
      <c r="D47" s="347" t="str">
        <f>Presupuesto!D49</f>
        <v>UND</v>
      </c>
      <c r="E47" s="348">
        <f>Presupuesto!E49</f>
        <v>1</v>
      </c>
      <c r="F47" s="350">
        <f>Presupuesto!F49</f>
        <v>1041437.5</v>
      </c>
      <c r="G47" s="437">
        <f t="shared" ref="G47" si="5">ROUND(E47*F47,2)</f>
        <v>1041437.5</v>
      </c>
      <c r="H47" s="346">
        <f>G47/G60</f>
        <v>2.1247334901758761E-2</v>
      </c>
      <c r="I47" s="468"/>
      <c r="J47" s="468"/>
      <c r="K47" s="512"/>
      <c r="L47" s="512">
        <f>+G47</f>
        <v>1041437.5</v>
      </c>
    </row>
    <row r="48" spans="1:12" x14ac:dyDescent="0.3">
      <c r="A48" s="372"/>
      <c r="B48" s="822"/>
      <c r="C48" s="823"/>
      <c r="D48" s="347"/>
      <c r="E48" s="348"/>
      <c r="F48" s="350"/>
      <c r="G48" s="437"/>
      <c r="H48" s="346"/>
      <c r="I48" s="468"/>
      <c r="J48" s="468"/>
      <c r="K48" s="512"/>
      <c r="L48" s="512"/>
    </row>
    <row r="49" spans="1:14" x14ac:dyDescent="0.3">
      <c r="A49" s="371"/>
      <c r="B49" s="824" t="str">
        <f>+Presupuesto!B51</f>
        <v>INSTALACIONES ELECTRICAS</v>
      </c>
      <c r="C49" s="825"/>
      <c r="D49" s="359"/>
      <c r="E49" s="360"/>
      <c r="F49" s="361"/>
      <c r="G49" s="439"/>
      <c r="H49" s="362"/>
      <c r="I49" s="469"/>
      <c r="J49" s="469"/>
      <c r="K49" s="513"/>
      <c r="L49" s="513"/>
    </row>
    <row r="50" spans="1:14" ht="42" customHeight="1" x14ac:dyDescent="0.3">
      <c r="A50" s="372">
        <f>+Presupuesto!A52</f>
        <v>6.1</v>
      </c>
      <c r="B50" s="648" t="s">
        <v>328</v>
      </c>
      <c r="C50" s="649"/>
      <c r="D50" s="347" t="str">
        <f>+Presupuesto!D52</f>
        <v>UND</v>
      </c>
      <c r="E50" s="347">
        <f>+Presupuesto!E52</f>
        <v>2</v>
      </c>
      <c r="F50" s="347">
        <f>+Presupuesto!F52</f>
        <v>35383.33</v>
      </c>
      <c r="G50" s="437">
        <f>ROUND(E50*F50,2)</f>
        <v>70766.66</v>
      </c>
      <c r="H50" s="346">
        <f>G50/G60</f>
        <v>1.4437764387194582E-3</v>
      </c>
      <c r="I50" s="468"/>
      <c r="J50" s="468"/>
      <c r="K50" s="468">
        <f>+G50</f>
        <v>70766.66</v>
      </c>
      <c r="L50" s="512"/>
    </row>
    <row r="51" spans="1:14" x14ac:dyDescent="0.3">
      <c r="A51" s="372">
        <f>+Presupuesto!A53</f>
        <v>6.2</v>
      </c>
      <c r="B51" s="822" t="str">
        <f>+Presupuesto!B53</f>
        <v>SUMINISTRO E INSTALACION DE SALIDA PARA TOMACORRIENTE DE USO GENERAL, INCLUYE CAJA PLASTICA, TOMA CORRIENTE Y DEMAS ACCESORIOS</v>
      </c>
      <c r="C51" s="823"/>
      <c r="D51" s="347" t="str">
        <f>+Presupuesto!D53</f>
        <v>UND</v>
      </c>
      <c r="E51" s="347">
        <f>+Presupuesto!E53</f>
        <v>2</v>
      </c>
      <c r="F51" s="347">
        <f>+Presupuesto!F53</f>
        <v>149118.75</v>
      </c>
      <c r="G51" s="437">
        <f t="shared" ref="G51:G52" si="6">ROUND(E51*F51,2)</f>
        <v>298237.5</v>
      </c>
      <c r="H51" s="346">
        <f>G51/G60</f>
        <v>6.0846205775798154E-3</v>
      </c>
      <c r="I51" s="468"/>
      <c r="J51" s="468"/>
      <c r="K51" s="512"/>
      <c r="L51" s="512">
        <f>+G51</f>
        <v>298237.5</v>
      </c>
    </row>
    <row r="52" spans="1:14" x14ac:dyDescent="0.3">
      <c r="A52" s="372">
        <f>+Presupuesto!A54</f>
        <v>6.3</v>
      </c>
      <c r="B52" s="822" t="str">
        <f>+Presupuesto!B54</f>
        <v>SUMINISTRO E INSTALACION DE SALIDA DE LAMPARA LED DE 24W INLUYE CAJA DE ALUMINIO OCTAGONAL Y DEMAS ACCEORIOS</v>
      </c>
      <c r="C52" s="823"/>
      <c r="D52" s="347" t="str">
        <f>+Presupuesto!D54</f>
        <v>UND</v>
      </c>
      <c r="E52" s="347">
        <f>+Presupuesto!E54</f>
        <v>3</v>
      </c>
      <c r="F52" s="347">
        <f>+Presupuesto!F54</f>
        <v>281980</v>
      </c>
      <c r="G52" s="437">
        <f t="shared" si="6"/>
        <v>845940</v>
      </c>
      <c r="H52" s="346">
        <f>G52/G60</f>
        <v>1.7258808605215201E-2</v>
      </c>
      <c r="I52" s="468"/>
      <c r="J52" s="468"/>
      <c r="K52" s="512"/>
      <c r="L52" s="512">
        <f>+G52</f>
        <v>845940</v>
      </c>
    </row>
    <row r="53" spans="1:14" x14ac:dyDescent="0.3">
      <c r="A53" s="372"/>
      <c r="B53" s="520"/>
      <c r="C53" s="521"/>
      <c r="D53" s="347"/>
      <c r="E53" s="348"/>
      <c r="F53" s="350"/>
      <c r="G53" s="437"/>
      <c r="H53" s="346"/>
      <c r="I53" s="468"/>
      <c r="J53" s="468"/>
      <c r="K53" s="512"/>
      <c r="L53" s="512"/>
    </row>
    <row r="54" spans="1:14" x14ac:dyDescent="0.3">
      <c r="A54" s="372"/>
      <c r="B54" s="820"/>
      <c r="C54" s="821"/>
      <c r="D54" s="347"/>
      <c r="E54" s="348"/>
      <c r="F54" s="350"/>
      <c r="G54" s="437"/>
      <c r="H54" s="346"/>
      <c r="I54" s="468"/>
      <c r="J54" s="468"/>
      <c r="K54" s="378"/>
      <c r="L54" s="378"/>
    </row>
    <row r="55" spans="1:14" s="311" customFormat="1" ht="15" customHeight="1" x14ac:dyDescent="0.3">
      <c r="A55" s="833" t="s">
        <v>25</v>
      </c>
      <c r="B55" s="834"/>
      <c r="C55" s="834"/>
      <c r="D55" s="834"/>
      <c r="E55" s="834"/>
      <c r="F55" s="834"/>
      <c r="G55" s="440">
        <f>SUM(G15:G52)</f>
        <v>37132553.640000001</v>
      </c>
      <c r="H55" s="331">
        <f>SUM(H15:H54)</f>
        <v>0.75757575749538641</v>
      </c>
      <c r="I55" s="458">
        <f>SUM(I15:I54)</f>
        <v>6976362.9199999999</v>
      </c>
      <c r="J55" s="459">
        <f>SUM(J15:J54)</f>
        <v>13149867.140000001</v>
      </c>
      <c r="K55" s="459">
        <f>SUM(K15:K54)</f>
        <v>9361328.8949999996</v>
      </c>
      <c r="L55" s="459">
        <f>SUM(L15:L54)</f>
        <v>7644994.6850000005</v>
      </c>
    </row>
    <row r="56" spans="1:14" x14ac:dyDescent="0.3">
      <c r="A56" s="819" t="s">
        <v>178</v>
      </c>
      <c r="B56" s="653"/>
      <c r="C56" s="653"/>
      <c r="D56" s="653"/>
      <c r="E56" s="653"/>
      <c r="F56" s="324">
        <v>0.28000000000000003</v>
      </c>
      <c r="G56" s="441">
        <f>ROUND((F56*G$55),2)</f>
        <v>10397115.02</v>
      </c>
      <c r="H56" s="332">
        <f>G56/G$60</f>
        <v>0.21212121211502971</v>
      </c>
      <c r="I56" s="458">
        <f>$F$56*I$55</f>
        <v>1953381.6176000002</v>
      </c>
      <c r="J56" s="459">
        <f>$F$56*J$55</f>
        <v>3681962.7992000007</v>
      </c>
      <c r="K56" s="459">
        <f>$F$56*K$55</f>
        <v>2621172.0906000002</v>
      </c>
      <c r="L56" s="459">
        <f>$F$56*L$55</f>
        <v>2140598.5118000004</v>
      </c>
    </row>
    <row r="57" spans="1:14" x14ac:dyDescent="0.3">
      <c r="A57" s="819" t="s">
        <v>61</v>
      </c>
      <c r="B57" s="653"/>
      <c r="C57" s="653"/>
      <c r="D57" s="653"/>
      <c r="E57" s="653"/>
      <c r="F57" s="324">
        <v>0.01</v>
      </c>
      <c r="G57" s="441">
        <f>ROUND((F57*G$55),2)</f>
        <v>371325.54</v>
      </c>
      <c r="H57" s="332">
        <f>G57/G$60</f>
        <v>7.5757576484008103E-3</v>
      </c>
      <c r="I57" s="458">
        <f>$F$57*I$55</f>
        <v>69763.629199999996</v>
      </c>
      <c r="J57" s="459">
        <f>$F$57*J$55</f>
        <v>131498.67140000002</v>
      </c>
      <c r="K57" s="459">
        <f>$F$57*K$55</f>
        <v>93613.288950000002</v>
      </c>
      <c r="L57" s="459">
        <f>$F$57*L$55</f>
        <v>76449.946850000008</v>
      </c>
    </row>
    <row r="58" spans="1:14" x14ac:dyDescent="0.3">
      <c r="A58" s="819" t="s">
        <v>62</v>
      </c>
      <c r="B58" s="653"/>
      <c r="C58" s="653"/>
      <c r="D58" s="653"/>
      <c r="E58" s="653"/>
      <c r="F58" s="324">
        <v>0.03</v>
      </c>
      <c r="G58" s="441">
        <f>ROUND((F58*G$55),2)</f>
        <v>1113976.6100000001</v>
      </c>
      <c r="H58" s="332">
        <f>G58/G$60</f>
        <v>2.2727272741183135E-2</v>
      </c>
      <c r="I58" s="458">
        <f>$F$58*I$55</f>
        <v>209290.88759999999</v>
      </c>
      <c r="J58" s="459">
        <f>$F$58*J$55</f>
        <v>394496.01419999998</v>
      </c>
      <c r="K58" s="459">
        <f>$F$58*K$55</f>
        <v>280839.86684999999</v>
      </c>
      <c r="L58" s="459">
        <f>$F$58*L$55</f>
        <v>229349.84054999999</v>
      </c>
    </row>
    <row r="59" spans="1:14" s="311" customFormat="1" ht="15" customHeight="1" x14ac:dyDescent="0.3">
      <c r="A59" s="833" t="s">
        <v>228</v>
      </c>
      <c r="B59" s="834"/>
      <c r="C59" s="834"/>
      <c r="D59" s="834"/>
      <c r="E59" s="834"/>
      <c r="F59" s="834"/>
      <c r="G59" s="436">
        <f t="shared" ref="G59:L59" si="7">SUM(G56:G58)</f>
        <v>11882417.169999998</v>
      </c>
      <c r="H59" s="333">
        <f t="shared" si="7"/>
        <v>0.24242424250461367</v>
      </c>
      <c r="I59" s="458">
        <f t="shared" si="7"/>
        <v>2232436.1344000003</v>
      </c>
      <c r="J59" s="459">
        <f t="shared" si="7"/>
        <v>4207957.4848000007</v>
      </c>
      <c r="K59" s="459">
        <f t="shared" si="7"/>
        <v>2995625.2464000001</v>
      </c>
      <c r="L59" s="459">
        <f t="shared" si="7"/>
        <v>2446398.2992000002</v>
      </c>
    </row>
    <row r="60" spans="1:14" s="311" customFormat="1" ht="14.4" thickBot="1" x14ac:dyDescent="0.35">
      <c r="A60" s="817" t="s">
        <v>229</v>
      </c>
      <c r="B60" s="818"/>
      <c r="C60" s="818"/>
      <c r="D60" s="818"/>
      <c r="E60" s="818"/>
      <c r="F60" s="818"/>
      <c r="G60" s="442">
        <f>G59+G55</f>
        <v>49014970.810000002</v>
      </c>
      <c r="H60" s="373">
        <f>H55+H59</f>
        <v>1</v>
      </c>
      <c r="I60" s="470">
        <f>I55+I59</f>
        <v>9208799.0544000007</v>
      </c>
      <c r="J60" s="471">
        <f>J55+J59</f>
        <v>17357824.6248</v>
      </c>
      <c r="K60" s="471">
        <f>K55+K59</f>
        <v>12356954.1414</v>
      </c>
      <c r="L60" s="471">
        <f>L55+L59</f>
        <v>10091392.984200001</v>
      </c>
      <c r="M60" s="379"/>
      <c r="N60" s="380"/>
    </row>
    <row r="61" spans="1:14" x14ac:dyDescent="0.3">
      <c r="A61" s="334"/>
      <c r="B61" s="335"/>
      <c r="C61" s="335"/>
      <c r="D61" s="335"/>
      <c r="E61" s="335"/>
      <c r="F61" s="335"/>
      <c r="G61" s="336"/>
      <c r="H61" s="337"/>
      <c r="I61" s="472"/>
    </row>
    <row r="62" spans="1:14" x14ac:dyDescent="0.3">
      <c r="A62" s="334"/>
      <c r="B62" s="335"/>
      <c r="C62" s="335"/>
      <c r="D62" s="335"/>
      <c r="E62" s="335"/>
      <c r="F62" s="335"/>
      <c r="G62" s="336"/>
      <c r="H62" s="514"/>
      <c r="I62" s="472"/>
    </row>
    <row r="63" spans="1:14" x14ac:dyDescent="0.3">
      <c r="A63" s="334"/>
      <c r="B63" s="334"/>
      <c r="C63" s="334"/>
      <c r="D63" s="334"/>
      <c r="E63" s="334"/>
      <c r="F63" s="334"/>
      <c r="G63" s="338"/>
      <c r="H63" s="334"/>
      <c r="I63" s="540"/>
    </row>
    <row r="64" spans="1:14" x14ac:dyDescent="0.3">
      <c r="A64" s="334"/>
      <c r="B64" s="334"/>
      <c r="C64" s="334"/>
      <c r="D64" s="334"/>
      <c r="E64" s="339"/>
      <c r="F64" s="339"/>
      <c r="G64" s="339"/>
      <c r="H64" s="334"/>
      <c r="I64" s="472"/>
    </row>
    <row r="65" spans="1:9" x14ac:dyDescent="0.3">
      <c r="A65" s="334"/>
      <c r="B65" s="334"/>
      <c r="C65" s="334"/>
      <c r="E65" s="341" t="str">
        <f>+Presupuesto!D65</f>
        <v>ARQ. GUILLERMO YAMID VALLEJOS BENAVIDES</v>
      </c>
      <c r="F65" s="340"/>
      <c r="G65" s="340"/>
      <c r="H65" s="334"/>
      <c r="I65" s="472"/>
    </row>
    <row r="66" spans="1:9" x14ac:dyDescent="0.3">
      <c r="A66" s="334"/>
      <c r="B66" s="334"/>
      <c r="C66" s="334"/>
      <c r="E66" s="342" t="str">
        <f>+Presupuesto!D66</f>
        <v>SECRETARIO DE PLANEACION Y OBRAS PUBLICAS</v>
      </c>
      <c r="F66" s="343"/>
      <c r="G66" s="343"/>
      <c r="H66" s="334"/>
      <c r="I66" s="472"/>
    </row>
    <row r="67" spans="1:9" x14ac:dyDescent="0.3">
      <c r="A67" s="334"/>
      <c r="B67" s="334"/>
      <c r="C67" s="334"/>
      <c r="E67" s="816" t="str">
        <f>+Presupuesto!D67</f>
        <v>SAN MIGUEL - PUTUMAYO</v>
      </c>
      <c r="F67" s="816"/>
      <c r="G67" s="816"/>
      <c r="H67" s="334"/>
      <c r="I67" s="472"/>
    </row>
    <row r="68" spans="1:9" x14ac:dyDescent="0.3">
      <c r="A68" s="829"/>
      <c r="B68" s="829"/>
      <c r="C68" s="829"/>
      <c r="D68" s="829"/>
      <c r="E68" s="829"/>
      <c r="F68" s="334"/>
      <c r="G68" s="334"/>
      <c r="H68" s="334"/>
      <c r="I68" s="472"/>
    </row>
  </sheetData>
  <mergeCells count="67">
    <mergeCell ref="B19:C19"/>
    <mergeCell ref="B21:C21"/>
    <mergeCell ref="B22:C22"/>
    <mergeCell ref="B50:C50"/>
    <mergeCell ref="B37:C37"/>
    <mergeCell ref="B27:C27"/>
    <mergeCell ref="B28:C28"/>
    <mergeCell ref="B33:C33"/>
    <mergeCell ref="B34:C34"/>
    <mergeCell ref="B30:C30"/>
    <mergeCell ref="B47:C47"/>
    <mergeCell ref="B35:C35"/>
    <mergeCell ref="B46:C46"/>
    <mergeCell ref="B31:C31"/>
    <mergeCell ref="B38:C38"/>
    <mergeCell ref="B39:C39"/>
    <mergeCell ref="I1:J6"/>
    <mergeCell ref="E2:F3"/>
    <mergeCell ref="E4:F4"/>
    <mergeCell ref="E5:F6"/>
    <mergeCell ref="G1:H1"/>
    <mergeCell ref="G2:H3"/>
    <mergeCell ref="G4:H4"/>
    <mergeCell ref="G5:H5"/>
    <mergeCell ref="G6:H6"/>
    <mergeCell ref="B14:C14"/>
    <mergeCell ref="B15:C15"/>
    <mergeCell ref="B17:C17"/>
    <mergeCell ref="B18:C18"/>
    <mergeCell ref="B16:C16"/>
    <mergeCell ref="A68:E68"/>
    <mergeCell ref="B1:B6"/>
    <mergeCell ref="A55:F55"/>
    <mergeCell ref="B25:C25"/>
    <mergeCell ref="B13:C13"/>
    <mergeCell ref="B12:C12"/>
    <mergeCell ref="B24:C24"/>
    <mergeCell ref="A1:A6"/>
    <mergeCell ref="C1:D2"/>
    <mergeCell ref="C3:D3"/>
    <mergeCell ref="C4:D4"/>
    <mergeCell ref="C5:D6"/>
    <mergeCell ref="A8:J9"/>
    <mergeCell ref="E1:F1"/>
    <mergeCell ref="A59:F59"/>
    <mergeCell ref="A11:L11"/>
    <mergeCell ref="B20:C20"/>
    <mergeCell ref="B54:C54"/>
    <mergeCell ref="B51:C51"/>
    <mergeCell ref="B40:C40"/>
    <mergeCell ref="B41:C41"/>
    <mergeCell ref="B42:C42"/>
    <mergeCell ref="B43:C43"/>
    <mergeCell ref="B44:C44"/>
    <mergeCell ref="B45:C45"/>
    <mergeCell ref="B48:C48"/>
    <mergeCell ref="B49:C49"/>
    <mergeCell ref="B52:C52"/>
    <mergeCell ref="B23:C23"/>
    <mergeCell ref="B26:C26"/>
    <mergeCell ref="B36:C36"/>
    <mergeCell ref="B29:C29"/>
    <mergeCell ref="E67:G67"/>
    <mergeCell ref="A60:F60"/>
    <mergeCell ref="A56:E56"/>
    <mergeCell ref="A58:E58"/>
    <mergeCell ref="A57:E57"/>
  </mergeCells>
  <phoneticPr fontId="29" type="noConversion"/>
  <pageMargins left="0.7" right="0.7" top="0.75" bottom="0.75" header="0.3" footer="0.3"/>
  <pageSetup scale="67" orientation="landscape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view="pageBreakPreview" topLeftCell="A25" zoomScale="96" zoomScaleNormal="100" zoomScaleSheetLayoutView="96" workbookViewId="0">
      <selection activeCell="H33" sqref="H33"/>
    </sheetView>
  </sheetViews>
  <sheetFormatPr baseColWidth="10" defaultColWidth="11.44140625" defaultRowHeight="13.8" x14ac:dyDescent="0.3"/>
  <cols>
    <col min="1" max="6" width="18.88671875" style="305" customWidth="1"/>
    <col min="7" max="8" width="19.33203125" style="279" customWidth="1"/>
    <col min="9" max="9" width="13.5546875" style="279" customWidth="1"/>
    <col min="10" max="16384" width="11.44140625" style="279"/>
  </cols>
  <sheetData>
    <row r="1" spans="1:8" x14ac:dyDescent="0.3">
      <c r="A1" s="879"/>
      <c r="B1" s="882" t="s">
        <v>193</v>
      </c>
      <c r="C1" s="883"/>
      <c r="D1" s="278" t="s">
        <v>194</v>
      </c>
      <c r="E1" s="278">
        <v>103</v>
      </c>
      <c r="F1" s="886"/>
    </row>
    <row r="2" spans="1:8" x14ac:dyDescent="0.3">
      <c r="A2" s="880"/>
      <c r="B2" s="884"/>
      <c r="C2" s="885"/>
      <c r="D2" s="889" t="s">
        <v>195</v>
      </c>
      <c r="E2" s="891">
        <v>51</v>
      </c>
      <c r="F2" s="887"/>
    </row>
    <row r="3" spans="1:8" x14ac:dyDescent="0.3">
      <c r="A3" s="880"/>
      <c r="B3" s="892" t="s">
        <v>196</v>
      </c>
      <c r="C3" s="893"/>
      <c r="D3" s="890"/>
      <c r="E3" s="891"/>
      <c r="F3" s="887"/>
    </row>
    <row r="4" spans="1:8" ht="14.4" x14ac:dyDescent="0.3">
      <c r="A4" s="880"/>
      <c r="B4" s="894" t="s">
        <v>197</v>
      </c>
      <c r="C4" s="895"/>
      <c r="D4" s="278" t="s">
        <v>198</v>
      </c>
      <c r="E4" s="278">
        <v>1</v>
      </c>
      <c r="F4" s="887"/>
      <c r="G4"/>
    </row>
    <row r="5" spans="1:8" ht="14.4" x14ac:dyDescent="0.3">
      <c r="A5" s="880"/>
      <c r="B5" s="896" t="s">
        <v>199</v>
      </c>
      <c r="C5" s="897"/>
      <c r="D5" s="889" t="s">
        <v>200</v>
      </c>
      <c r="E5" s="278" t="s">
        <v>201</v>
      </c>
      <c r="F5" s="887"/>
      <c r="G5"/>
    </row>
    <row r="6" spans="1:8" ht="14.4" x14ac:dyDescent="0.3">
      <c r="A6" s="881"/>
      <c r="B6" s="898"/>
      <c r="C6" s="899"/>
      <c r="D6" s="890"/>
      <c r="E6" s="280">
        <v>44216</v>
      </c>
      <c r="F6" s="888"/>
      <c r="G6"/>
    </row>
    <row r="7" spans="1:8" ht="15" thickBot="1" x14ac:dyDescent="0.35">
      <c r="A7" s="281"/>
      <c r="B7" s="282"/>
      <c r="C7" s="282"/>
      <c r="D7" s="282"/>
      <c r="E7" s="282"/>
      <c r="F7" s="282"/>
      <c r="G7"/>
    </row>
    <row r="8" spans="1:8" ht="21.75" customHeight="1" x14ac:dyDescent="0.3">
      <c r="A8" s="803" t="str">
        <f>Presupuesto!A8</f>
        <v>ADECUACION Y MEJORAMIENTO DE AULAS ESCOLARES UBICADA EN LA INSTITUCION EDUCATIVA TECNICO COMERCIAL LA DORADA SEDE ESCUELA CENTRAL DEL MUNICIPIO DE SAN MIGUEL PUTUMAYO</v>
      </c>
      <c r="B8" s="804"/>
      <c r="C8" s="804"/>
      <c r="D8" s="804"/>
      <c r="E8" s="804"/>
      <c r="F8" s="804"/>
      <c r="G8"/>
    </row>
    <row r="9" spans="1:8" ht="30.75" customHeight="1" thickBot="1" x14ac:dyDescent="0.35">
      <c r="A9" s="805"/>
      <c r="B9" s="806"/>
      <c r="C9" s="806"/>
      <c r="D9" s="806"/>
      <c r="E9" s="806"/>
      <c r="F9" s="806"/>
      <c r="G9"/>
    </row>
    <row r="10" spans="1:8" ht="14.4" x14ac:dyDescent="0.3">
      <c r="A10" s="283"/>
      <c r="B10" s="283"/>
      <c r="C10" s="283"/>
      <c r="D10" s="283"/>
      <c r="E10" s="283"/>
      <c r="F10" s="283"/>
      <c r="G10"/>
    </row>
    <row r="11" spans="1:8" x14ac:dyDescent="0.3">
      <c r="A11" s="900" t="s">
        <v>202</v>
      </c>
      <c r="B11" s="900"/>
      <c r="C11" s="900"/>
      <c r="D11" s="900"/>
      <c r="E11" s="900"/>
      <c r="F11" s="900"/>
    </row>
    <row r="13" spans="1:8" x14ac:dyDescent="0.3">
      <c r="A13" s="901" t="s">
        <v>203</v>
      </c>
      <c r="B13" s="902"/>
      <c r="C13" s="902"/>
      <c r="D13" s="902"/>
      <c r="E13" s="902"/>
      <c r="F13" s="903"/>
    </row>
    <row r="14" spans="1:8" x14ac:dyDescent="0.3">
      <c r="A14" s="284" t="s">
        <v>204</v>
      </c>
      <c r="B14" s="285" t="s">
        <v>205</v>
      </c>
      <c r="C14" s="892" t="s">
        <v>77</v>
      </c>
      <c r="D14" s="893"/>
      <c r="E14" s="891" t="s">
        <v>206</v>
      </c>
      <c r="F14" s="891"/>
      <c r="H14" s="286"/>
    </row>
    <row r="15" spans="1:8" x14ac:dyDescent="0.3">
      <c r="A15" s="287" t="s">
        <v>207</v>
      </c>
      <c r="B15" s="288">
        <v>2000000</v>
      </c>
      <c r="C15" s="877">
        <v>1.75</v>
      </c>
      <c r="D15" s="877"/>
      <c r="E15" s="878">
        <f>B15*C15</f>
        <v>3500000</v>
      </c>
      <c r="F15" s="878"/>
    </row>
    <row r="16" spans="1:8" x14ac:dyDescent="0.3">
      <c r="A16" s="906" t="s">
        <v>208</v>
      </c>
      <c r="B16" s="906"/>
      <c r="C16" s="906"/>
      <c r="D16" s="906"/>
      <c r="E16" s="906"/>
      <c r="F16" s="906"/>
      <c r="G16" s="279" t="s">
        <v>448</v>
      </c>
      <c r="H16" s="527">
        <f>H50/1.19</f>
        <v>936114.79831932788</v>
      </c>
    </row>
    <row r="17" spans="1:9" ht="41.4" x14ac:dyDescent="0.3">
      <c r="A17" s="289" t="s">
        <v>209</v>
      </c>
      <c r="B17" s="289" t="s">
        <v>206</v>
      </c>
      <c r="C17" s="289" t="s">
        <v>210</v>
      </c>
      <c r="D17" s="289" t="s">
        <v>211</v>
      </c>
      <c r="E17" s="289" t="s">
        <v>212</v>
      </c>
      <c r="F17" s="289" t="s">
        <v>213</v>
      </c>
      <c r="G17" s="528" t="s">
        <v>449</v>
      </c>
      <c r="H17" s="529">
        <f>Presupuesto!G61</f>
        <v>49014970.810000002</v>
      </c>
      <c r="I17" s="530"/>
    </row>
    <row r="18" spans="1:9" x14ac:dyDescent="0.3">
      <c r="A18" s="290" t="s">
        <v>207</v>
      </c>
      <c r="B18" s="291">
        <f>E15</f>
        <v>3500000</v>
      </c>
      <c r="C18" s="292">
        <v>0.5</v>
      </c>
      <c r="D18" s="293">
        <v>1</v>
      </c>
      <c r="E18" s="432">
        <f>ROUND((B18*C18*D18),0)</f>
        <v>1750000</v>
      </c>
      <c r="F18" s="321">
        <f>E18/E52</f>
        <v>4.7128458143930657E-2</v>
      </c>
      <c r="G18" s="528" t="s">
        <v>450</v>
      </c>
      <c r="H18" s="527">
        <f>H17-H16</f>
        <v>48078856.011680678</v>
      </c>
    </row>
    <row r="19" spans="1:9" customFormat="1" ht="14.4" x14ac:dyDescent="0.3">
      <c r="A19" s="907" t="s">
        <v>214</v>
      </c>
      <c r="B19" s="908"/>
      <c r="C19" s="295"/>
      <c r="D19" s="295"/>
      <c r="E19" s="433"/>
      <c r="F19" s="295"/>
      <c r="G19" s="279"/>
      <c r="H19" s="279"/>
      <c r="I19" s="279"/>
    </row>
    <row r="20" spans="1:9" customFormat="1" ht="14.4" x14ac:dyDescent="0.3">
      <c r="A20" s="909" t="s">
        <v>215</v>
      </c>
      <c r="B20" s="910"/>
      <c r="C20" s="290"/>
      <c r="D20" s="290"/>
      <c r="E20" s="434">
        <v>300000</v>
      </c>
      <c r="F20" s="296">
        <f>E20/$E$52</f>
        <v>8.0791642532452562E-3</v>
      </c>
      <c r="G20" s="279"/>
      <c r="H20" s="279"/>
      <c r="I20" s="297"/>
    </row>
    <row r="21" spans="1:9" customFormat="1" ht="14.4" x14ac:dyDescent="0.3">
      <c r="A21" s="911" t="s">
        <v>216</v>
      </c>
      <c r="B21" s="911"/>
      <c r="C21" s="294"/>
      <c r="D21" s="290"/>
      <c r="E21" s="432"/>
      <c r="F21" s="290"/>
      <c r="G21" s="279"/>
      <c r="H21" s="279"/>
      <c r="I21" s="279"/>
    </row>
    <row r="22" spans="1:9" customFormat="1" ht="14.4" x14ac:dyDescent="0.3">
      <c r="A22" s="915" t="s">
        <v>451</v>
      </c>
      <c r="B22" s="916"/>
      <c r="C22" s="290"/>
      <c r="D22" s="290"/>
      <c r="E22" s="435">
        <v>107728.28</v>
      </c>
      <c r="F22" s="296">
        <f>E22/$E$52</f>
        <v>2.9011815627986528E-3</v>
      </c>
      <c r="G22" s="279"/>
      <c r="H22" s="279"/>
      <c r="I22" s="279"/>
    </row>
    <row r="23" spans="1:9" customFormat="1" ht="14.4" x14ac:dyDescent="0.3">
      <c r="A23" s="915" t="s">
        <v>124</v>
      </c>
      <c r="B23" s="916"/>
      <c r="C23" s="290"/>
      <c r="D23" s="290"/>
      <c r="E23" s="435">
        <v>180000</v>
      </c>
      <c r="F23" s="296">
        <f>E23/$E$52</f>
        <v>4.8474985519471533E-3</v>
      </c>
      <c r="G23" s="279"/>
      <c r="H23" s="279"/>
      <c r="I23" s="279"/>
    </row>
    <row r="24" spans="1:9" customFormat="1" ht="14.4" x14ac:dyDescent="0.3">
      <c r="A24" s="625" t="s">
        <v>452</v>
      </c>
      <c r="B24" s="626"/>
      <c r="C24" s="531"/>
      <c r="D24" s="531"/>
      <c r="E24" s="532"/>
      <c r="F24" s="533"/>
      <c r="G24" s="534"/>
      <c r="H24" s="279"/>
      <c r="I24" s="279"/>
    </row>
    <row r="25" spans="1:9" customFormat="1" ht="14.4" x14ac:dyDescent="0.3">
      <c r="A25" s="912" t="s">
        <v>453</v>
      </c>
      <c r="B25" s="912"/>
      <c r="C25" s="531"/>
      <c r="D25" s="531"/>
      <c r="E25" s="535">
        <f>H18*G25</f>
        <v>961577.12023361353</v>
      </c>
      <c r="F25" s="296">
        <f>E25/$E$52</f>
        <v>2.589579832176642E-2</v>
      </c>
      <c r="G25" s="534">
        <v>0.02</v>
      </c>
      <c r="H25" s="279"/>
      <c r="I25" s="279"/>
    </row>
    <row r="26" spans="1:9" customFormat="1" ht="14.4" x14ac:dyDescent="0.3">
      <c r="A26" s="912" t="s">
        <v>454</v>
      </c>
      <c r="B26" s="912"/>
      <c r="C26" s="531"/>
      <c r="D26" s="531"/>
      <c r="E26" s="535">
        <f>H18*G26</f>
        <v>480788.56011680677</v>
      </c>
      <c r="F26" s="296">
        <f>E26/$E$52</f>
        <v>1.294789916088321E-2</v>
      </c>
      <c r="G26" s="534">
        <v>0.01</v>
      </c>
      <c r="H26" s="279"/>
      <c r="I26" s="279"/>
    </row>
    <row r="27" spans="1:9" customFormat="1" ht="14.4" x14ac:dyDescent="0.3">
      <c r="A27" s="912" t="s">
        <v>455</v>
      </c>
      <c r="B27" s="912"/>
      <c r="C27" s="531"/>
      <c r="D27" s="531"/>
      <c r="E27" s="535">
        <f t="shared" ref="E27:E32" si="0">G27*$H$17</f>
        <v>2450748.5405000001</v>
      </c>
      <c r="F27" s="296">
        <f>E27/$E$52</f>
        <v>6.6000000007001944E-2</v>
      </c>
      <c r="G27" s="534">
        <v>0.05</v>
      </c>
      <c r="H27" s="279"/>
      <c r="I27" s="279"/>
    </row>
    <row r="28" spans="1:9" customFormat="1" ht="14.4" x14ac:dyDescent="0.3">
      <c r="A28" s="913" t="s">
        <v>456</v>
      </c>
      <c r="B28" s="914"/>
      <c r="C28" s="531"/>
      <c r="D28" s="531"/>
      <c r="E28" s="535"/>
      <c r="F28" s="536"/>
      <c r="G28" s="534"/>
      <c r="H28" s="279"/>
      <c r="I28" s="279"/>
    </row>
    <row r="29" spans="1:9" customFormat="1" ht="14.4" x14ac:dyDescent="0.3">
      <c r="A29" s="904" t="s">
        <v>457</v>
      </c>
      <c r="B29" s="905"/>
      <c r="C29" s="531"/>
      <c r="D29" s="531"/>
      <c r="E29" s="535">
        <f t="shared" si="0"/>
        <v>1960598.8324000002</v>
      </c>
      <c r="F29" s="296">
        <f>E29/$E$52</f>
        <v>5.2800000005601561E-2</v>
      </c>
      <c r="G29" s="534">
        <v>0.04</v>
      </c>
      <c r="H29" s="279"/>
      <c r="I29" s="279"/>
    </row>
    <row r="30" spans="1:9" customFormat="1" ht="14.4" x14ac:dyDescent="0.3">
      <c r="A30" s="904" t="s">
        <v>458</v>
      </c>
      <c r="B30" s="905"/>
      <c r="C30" s="531"/>
      <c r="D30" s="531"/>
      <c r="E30" s="535">
        <f t="shared" si="0"/>
        <v>980299.41620000009</v>
      </c>
      <c r="F30" s="296">
        <f>E30/$E$52</f>
        <v>2.640000000280078E-2</v>
      </c>
      <c r="G30" s="534">
        <v>0.02</v>
      </c>
      <c r="H30" s="279"/>
      <c r="I30" s="279"/>
    </row>
    <row r="31" spans="1:9" customFormat="1" ht="14.4" x14ac:dyDescent="0.3">
      <c r="A31" s="904" t="s">
        <v>459</v>
      </c>
      <c r="B31" s="905"/>
      <c r="C31" s="531"/>
      <c r="D31" s="531"/>
      <c r="E31" s="535">
        <f t="shared" si="0"/>
        <v>980299.41620000009</v>
      </c>
      <c r="F31" s="296">
        <f>E31/$E$52</f>
        <v>2.640000000280078E-2</v>
      </c>
      <c r="G31" s="534">
        <v>0.02</v>
      </c>
      <c r="H31" s="279"/>
      <c r="I31" s="279"/>
    </row>
    <row r="32" spans="1:9" customFormat="1" ht="27" customHeight="1" x14ac:dyDescent="0.3">
      <c r="A32" s="904" t="s">
        <v>462</v>
      </c>
      <c r="B32" s="905"/>
      <c r="C32" s="531"/>
      <c r="D32" s="531"/>
      <c r="E32" s="535">
        <f t="shared" si="0"/>
        <v>245074.85405000002</v>
      </c>
      <c r="F32" s="296">
        <f>E32/$E$52</f>
        <v>6.6000000007001951E-3</v>
      </c>
      <c r="G32" s="537">
        <v>5.0000000000000001E-3</v>
      </c>
      <c r="H32" s="279"/>
      <c r="I32" s="279"/>
    </row>
    <row r="33" spans="1:8" x14ac:dyDescent="0.3">
      <c r="A33" s="920" t="s">
        <v>125</v>
      </c>
      <c r="B33" s="920"/>
      <c r="C33" s="920"/>
      <c r="D33" s="920"/>
      <c r="E33" s="431">
        <f>ROUND(SUM(E18:E32),2)</f>
        <v>10397115.02</v>
      </c>
      <c r="F33" s="538">
        <f>SUM(F18:F32)</f>
        <v>0.28000000001347664</v>
      </c>
      <c r="G33" s="430">
        <f>H48</f>
        <v>10397115.02</v>
      </c>
      <c r="H33" s="539"/>
    </row>
    <row r="34" spans="1:8" x14ac:dyDescent="0.3">
      <c r="A34" s="298"/>
      <c r="B34" s="298"/>
      <c r="C34" s="298"/>
      <c r="D34" s="298"/>
      <c r="E34" s="299"/>
      <c r="F34" s="300"/>
    </row>
    <row r="35" spans="1:8" x14ac:dyDescent="0.3">
      <c r="A35" s="906" t="s">
        <v>217</v>
      </c>
      <c r="B35" s="906"/>
      <c r="C35" s="906"/>
      <c r="D35" s="906"/>
      <c r="E35" s="906"/>
      <c r="F35" s="906"/>
    </row>
    <row r="36" spans="1:8" x14ac:dyDescent="0.3">
      <c r="A36" s="891" t="s">
        <v>164</v>
      </c>
      <c r="B36" s="891"/>
      <c r="C36" s="284"/>
      <c r="D36" s="921" t="s">
        <v>212</v>
      </c>
      <c r="E36" s="922"/>
      <c r="F36" s="284" t="s">
        <v>218</v>
      </c>
    </row>
    <row r="37" spans="1:8" x14ac:dyDescent="0.3">
      <c r="A37" s="917" t="s">
        <v>61</v>
      </c>
      <c r="B37" s="917"/>
      <c r="C37" s="290"/>
      <c r="D37" s="918">
        <f>ROUND((F37*E52),2)</f>
        <v>371325.54</v>
      </c>
      <c r="E37" s="919"/>
      <c r="F37" s="292">
        <v>0.01</v>
      </c>
    </row>
    <row r="38" spans="1:8" x14ac:dyDescent="0.3">
      <c r="A38" s="920" t="s">
        <v>460</v>
      </c>
      <c r="B38" s="920"/>
      <c r="C38" s="920"/>
      <c r="D38" s="923">
        <f>D37</f>
        <v>371325.54</v>
      </c>
      <c r="E38" s="923"/>
      <c r="F38" s="301">
        <f>SUM(F37)</f>
        <v>0.01</v>
      </c>
    </row>
    <row r="39" spans="1:8" x14ac:dyDescent="0.3">
      <c r="A39" s="298"/>
      <c r="B39" s="298"/>
      <c r="C39" s="298"/>
      <c r="D39" s="298"/>
      <c r="E39" s="299"/>
      <c r="F39" s="300"/>
    </row>
    <row r="40" spans="1:8" x14ac:dyDescent="0.3">
      <c r="A40" s="906" t="s">
        <v>219</v>
      </c>
      <c r="B40" s="906"/>
      <c r="C40" s="906"/>
      <c r="D40" s="906"/>
      <c r="E40" s="906"/>
      <c r="F40" s="906"/>
    </row>
    <row r="41" spans="1:8" x14ac:dyDescent="0.3">
      <c r="A41" s="891" t="s">
        <v>164</v>
      </c>
      <c r="B41" s="891"/>
      <c r="C41" s="284"/>
      <c r="D41" s="921" t="s">
        <v>212</v>
      </c>
      <c r="E41" s="922"/>
      <c r="F41" s="284" t="s">
        <v>218</v>
      </c>
    </row>
    <row r="42" spans="1:8" x14ac:dyDescent="0.3">
      <c r="A42" s="917" t="s">
        <v>62</v>
      </c>
      <c r="B42" s="917"/>
      <c r="C42" s="290"/>
      <c r="D42" s="918">
        <f>ROUND((F42*E52),2)</f>
        <v>1113976.6100000001</v>
      </c>
      <c r="E42" s="919"/>
      <c r="F42" s="292">
        <v>0.03</v>
      </c>
    </row>
    <row r="43" spans="1:8" x14ac:dyDescent="0.3">
      <c r="A43" s="920" t="s">
        <v>126</v>
      </c>
      <c r="B43" s="920"/>
      <c r="C43" s="920"/>
      <c r="D43" s="923">
        <f>D42</f>
        <v>1113976.6100000001</v>
      </c>
      <c r="E43" s="923"/>
      <c r="F43" s="301">
        <f>SUM(F42)</f>
        <v>0.03</v>
      </c>
    </row>
    <row r="44" spans="1:8" x14ac:dyDescent="0.3">
      <c r="A44" s="298"/>
      <c r="B44" s="298"/>
      <c r="C44" s="298"/>
      <c r="D44" s="302"/>
      <c r="E44" s="302"/>
      <c r="F44" s="303"/>
    </row>
    <row r="45" spans="1:8" x14ac:dyDescent="0.3">
      <c r="A45" s="906" t="s">
        <v>220</v>
      </c>
      <c r="B45" s="906"/>
      <c r="C45" s="906"/>
      <c r="D45" s="906"/>
      <c r="E45" s="906"/>
      <c r="F45" s="906"/>
    </row>
    <row r="46" spans="1:8" x14ac:dyDescent="0.3">
      <c r="A46" s="924" t="s">
        <v>221</v>
      </c>
      <c r="B46" s="925"/>
      <c r="C46" s="925"/>
      <c r="D46" s="925"/>
      <c r="E46" s="925"/>
      <c r="F46" s="926"/>
    </row>
    <row r="47" spans="1:8" x14ac:dyDescent="0.3">
      <c r="A47" s="891" t="s">
        <v>164</v>
      </c>
      <c r="B47" s="891"/>
      <c r="C47" s="284"/>
      <c r="D47" s="921" t="s">
        <v>212</v>
      </c>
      <c r="E47" s="922"/>
      <c r="F47" s="284" t="s">
        <v>218</v>
      </c>
      <c r="G47" s="279" t="s">
        <v>240</v>
      </c>
    </row>
    <row r="48" spans="1:8" x14ac:dyDescent="0.3">
      <c r="A48" s="917" t="s">
        <v>222</v>
      </c>
      <c r="B48" s="917"/>
      <c r="C48" s="290"/>
      <c r="D48" s="918">
        <f>E33</f>
        <v>10397115.02</v>
      </c>
      <c r="E48" s="919"/>
      <c r="F48" s="304">
        <v>0.28000000000000003</v>
      </c>
      <c r="G48" s="279" t="s">
        <v>238</v>
      </c>
      <c r="H48" s="430">
        <v>10397115.02</v>
      </c>
    </row>
    <row r="49" spans="1:8" x14ac:dyDescent="0.3">
      <c r="A49" s="927" t="s">
        <v>61</v>
      </c>
      <c r="B49" s="928"/>
      <c r="C49" s="290"/>
      <c r="D49" s="918">
        <f>D38</f>
        <v>371325.54</v>
      </c>
      <c r="E49" s="919"/>
      <c r="F49" s="304">
        <v>0.01</v>
      </c>
      <c r="G49" s="279" t="s">
        <v>29</v>
      </c>
      <c r="H49" s="430">
        <v>371325.54</v>
      </c>
    </row>
    <row r="50" spans="1:8" x14ac:dyDescent="0.3">
      <c r="A50" s="917" t="s">
        <v>62</v>
      </c>
      <c r="B50" s="917"/>
      <c r="C50" s="290"/>
      <c r="D50" s="918">
        <f>D43</f>
        <v>1113976.6100000001</v>
      </c>
      <c r="E50" s="919"/>
      <c r="F50" s="292">
        <v>0.03</v>
      </c>
      <c r="G50" s="279" t="s">
        <v>239</v>
      </c>
      <c r="H50" s="430">
        <v>1113976.6100000001</v>
      </c>
    </row>
    <row r="51" spans="1:8" x14ac:dyDescent="0.3">
      <c r="A51" s="929" t="s">
        <v>72</v>
      </c>
      <c r="B51" s="929"/>
      <c r="C51" s="929"/>
      <c r="D51" s="930">
        <f>SUM(D48:E50)</f>
        <v>11882417.169999998</v>
      </c>
      <c r="E51" s="931"/>
      <c r="F51" s="301">
        <f>SUM(F48:F50)</f>
        <v>0.32000000000000006</v>
      </c>
      <c r="G51" s="279" t="s">
        <v>241</v>
      </c>
      <c r="H51" s="430">
        <f>SUM(H48:H50)</f>
        <v>11882417.169999998</v>
      </c>
    </row>
    <row r="52" spans="1:8" x14ac:dyDescent="0.3">
      <c r="A52" s="932" t="s">
        <v>223</v>
      </c>
      <c r="B52" s="932"/>
      <c r="C52" s="932"/>
      <c r="D52" s="932"/>
      <c r="E52" s="933">
        <f>Presupuesto!G56</f>
        <v>37132553.640000001</v>
      </c>
      <c r="F52" s="933"/>
      <c r="H52" s="363"/>
    </row>
    <row r="53" spans="1:8" x14ac:dyDescent="0.3">
      <c r="A53" s="932" t="s">
        <v>461</v>
      </c>
      <c r="B53" s="932"/>
      <c r="C53" s="932"/>
      <c r="D53" s="932"/>
      <c r="E53" s="934">
        <f>D51</f>
        <v>11882417.169999998</v>
      </c>
      <c r="F53" s="934"/>
      <c r="H53" s="364"/>
    </row>
    <row r="54" spans="1:8" x14ac:dyDescent="0.3">
      <c r="A54" s="920" t="s">
        <v>24</v>
      </c>
      <c r="B54" s="920"/>
      <c r="C54" s="920"/>
      <c r="D54" s="920"/>
      <c r="E54" s="923">
        <f>E52+E53</f>
        <v>49014970.810000002</v>
      </c>
      <c r="F54" s="923"/>
    </row>
    <row r="58" spans="1:8" x14ac:dyDescent="0.3">
      <c r="B58" s="306"/>
      <c r="C58" s="306"/>
      <c r="D58" s="306"/>
      <c r="E58" s="306"/>
    </row>
    <row r="59" spans="1:8" x14ac:dyDescent="0.3">
      <c r="A59" s="935" t="str">
        <f>Presupuesto!D65</f>
        <v>ARQ. GUILLERMO YAMID VALLEJOS BENAVIDES</v>
      </c>
      <c r="B59" s="935"/>
      <c r="C59" s="935"/>
      <c r="D59" s="935"/>
      <c r="E59" s="935"/>
      <c r="F59" s="935"/>
    </row>
    <row r="60" spans="1:8" x14ac:dyDescent="0.3">
      <c r="A60" s="936" t="str">
        <f>Presupuesto!D66</f>
        <v>SECRETARIO DE PLANEACION Y OBRAS PUBLICAS</v>
      </c>
      <c r="B60" s="936"/>
      <c r="C60" s="936"/>
      <c r="D60" s="936"/>
      <c r="E60" s="936"/>
      <c r="F60" s="936"/>
    </row>
    <row r="61" spans="1:8" x14ac:dyDescent="0.3">
      <c r="A61" s="936" t="str">
        <f>Presupuesto!D67</f>
        <v>SAN MIGUEL - PUTUMAYO</v>
      </c>
      <c r="B61" s="936"/>
      <c r="C61" s="936"/>
      <c r="D61" s="936"/>
      <c r="E61" s="936"/>
      <c r="F61" s="936"/>
    </row>
  </sheetData>
  <mergeCells count="67">
    <mergeCell ref="A54:D54"/>
    <mergeCell ref="E54:F54"/>
    <mergeCell ref="A59:F59"/>
    <mergeCell ref="A60:F60"/>
    <mergeCell ref="A61:F61"/>
    <mergeCell ref="A51:C51"/>
    <mergeCell ref="D51:E51"/>
    <mergeCell ref="A52:D52"/>
    <mergeCell ref="E52:F52"/>
    <mergeCell ref="A53:D53"/>
    <mergeCell ref="E53:F53"/>
    <mergeCell ref="A48:B48"/>
    <mergeCell ref="D48:E48"/>
    <mergeCell ref="A49:B49"/>
    <mergeCell ref="D49:E49"/>
    <mergeCell ref="A50:B50"/>
    <mergeCell ref="D50:E50"/>
    <mergeCell ref="A43:C43"/>
    <mergeCell ref="D43:E43"/>
    <mergeCell ref="A45:F45"/>
    <mergeCell ref="A46:F46"/>
    <mergeCell ref="A47:B47"/>
    <mergeCell ref="D47:E47"/>
    <mergeCell ref="A42:B42"/>
    <mergeCell ref="D42:E42"/>
    <mergeCell ref="A33:D33"/>
    <mergeCell ref="A35:F35"/>
    <mergeCell ref="A36:B36"/>
    <mergeCell ref="D36:E36"/>
    <mergeCell ref="A37:B37"/>
    <mergeCell ref="D37:E37"/>
    <mergeCell ref="A38:C38"/>
    <mergeCell ref="D38:E38"/>
    <mergeCell ref="A40:F40"/>
    <mergeCell ref="A41:B41"/>
    <mergeCell ref="D41:E41"/>
    <mergeCell ref="A32:B32"/>
    <mergeCell ref="A16:F16"/>
    <mergeCell ref="A19:B19"/>
    <mergeCell ref="A20:B20"/>
    <mergeCell ref="A21:B21"/>
    <mergeCell ref="A26:B2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C15:D15"/>
    <mergeCell ref="E15:F15"/>
    <mergeCell ref="A1:A6"/>
    <mergeCell ref="B1:C2"/>
    <mergeCell ref="F1:F6"/>
    <mergeCell ref="D2:D3"/>
    <mergeCell ref="E2:E3"/>
    <mergeCell ref="B3:C3"/>
    <mergeCell ref="B4:C4"/>
    <mergeCell ref="B5:C6"/>
    <mergeCell ref="D5:D6"/>
    <mergeCell ref="A8:F9"/>
    <mergeCell ref="A11:F11"/>
    <mergeCell ref="A13:F13"/>
    <mergeCell ref="C14:D14"/>
    <mergeCell ref="E14:F14"/>
  </mergeCells>
  <pageMargins left="0.7" right="0.7" top="0.75" bottom="0.75" header="0.3" footer="0.3"/>
  <pageSetup scale="73" orientation="portrait" r:id="rId1"/>
  <colBreaks count="1" manualBreakCount="1">
    <brk id="6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M153"/>
  <sheetViews>
    <sheetView view="pageBreakPreview" topLeftCell="A103" zoomScaleNormal="80" zoomScaleSheetLayoutView="100" workbookViewId="0">
      <selection activeCell="O130" sqref="O130"/>
    </sheetView>
  </sheetViews>
  <sheetFormatPr baseColWidth="10" defaultRowHeight="14.4" x14ac:dyDescent="0.3"/>
  <cols>
    <col min="1" max="1" width="18.33203125" style="385" customWidth="1"/>
    <col min="2" max="2" width="20.88671875" style="385" customWidth="1"/>
    <col min="3" max="3" width="18" style="385" customWidth="1"/>
    <col min="4" max="4" width="10" style="385" customWidth="1"/>
    <col min="5" max="5" width="11.5546875" style="385"/>
    <col min="6" max="6" width="13.44140625" style="385" customWidth="1"/>
    <col min="7" max="7" width="11.5546875" style="385"/>
    <col min="8" max="8" width="18.109375" style="385" customWidth="1"/>
    <col min="12" max="12" width="14" customWidth="1"/>
    <col min="13" max="13" width="13.44140625" customWidth="1"/>
  </cols>
  <sheetData>
    <row r="1" spans="1:8" x14ac:dyDescent="0.3">
      <c r="A1" s="937"/>
      <c r="B1" s="939" t="s">
        <v>193</v>
      </c>
      <c r="C1" s="940"/>
      <c r="D1" s="941"/>
      <c r="E1" s="945" t="s">
        <v>194</v>
      </c>
      <c r="F1" s="945"/>
      <c r="G1" s="383">
        <v>103</v>
      </c>
      <c r="H1" s="945"/>
    </row>
    <row r="2" spans="1:8" x14ac:dyDescent="0.3">
      <c r="A2" s="938"/>
      <c r="B2" s="942"/>
      <c r="C2" s="943"/>
      <c r="D2" s="944"/>
      <c r="E2" s="947" t="s">
        <v>195</v>
      </c>
      <c r="F2" s="947"/>
      <c r="G2" s="945">
        <v>51</v>
      </c>
      <c r="H2" s="945"/>
    </row>
    <row r="3" spans="1:8" x14ac:dyDescent="0.3">
      <c r="A3" s="938"/>
      <c r="B3" s="948" t="s">
        <v>196</v>
      </c>
      <c r="C3" s="949"/>
      <c r="D3" s="950"/>
      <c r="E3" s="947"/>
      <c r="F3" s="947"/>
      <c r="G3" s="945"/>
      <c r="H3" s="945"/>
    </row>
    <row r="4" spans="1:8" x14ac:dyDescent="0.3">
      <c r="A4" s="938"/>
      <c r="B4" s="951" t="s">
        <v>197</v>
      </c>
      <c r="C4" s="952"/>
      <c r="D4" s="953"/>
      <c r="E4" s="945" t="s">
        <v>198</v>
      </c>
      <c r="F4" s="945"/>
      <c r="G4" s="383">
        <v>1</v>
      </c>
      <c r="H4" s="945"/>
    </row>
    <row r="5" spans="1:8" x14ac:dyDescent="0.3">
      <c r="A5" s="938"/>
      <c r="B5" s="954" t="s">
        <v>199</v>
      </c>
      <c r="C5" s="955"/>
      <c r="D5" s="956"/>
      <c r="E5" s="947" t="s">
        <v>200</v>
      </c>
      <c r="F5" s="947"/>
      <c r="G5" s="383" t="s">
        <v>201</v>
      </c>
      <c r="H5" s="945"/>
    </row>
    <row r="6" spans="1:8" ht="15" thickBot="1" x14ac:dyDescent="0.35">
      <c r="A6" s="938"/>
      <c r="B6" s="957"/>
      <c r="C6" s="958"/>
      <c r="D6" s="959"/>
      <c r="E6" s="960"/>
      <c r="F6" s="960"/>
      <c r="G6" s="485">
        <v>44216</v>
      </c>
      <c r="H6" s="946"/>
    </row>
    <row r="7" spans="1:8" s="385" customFormat="1" ht="14.4" customHeight="1" x14ac:dyDescent="0.25">
      <c r="A7" s="961" t="str">
        <f>Presupuesto!A8</f>
        <v>ADECUACION Y MEJORAMIENTO DE AULAS ESCOLARES UBICADA EN LA INSTITUCION EDUCATIVA TECNICO COMERCIAL LA DORADA SEDE ESCUELA CENTRAL DEL MUNICIPIO DE SAN MIGUEL PUTUMAYO</v>
      </c>
      <c r="B7" s="962"/>
      <c r="C7" s="962"/>
      <c r="D7" s="962"/>
      <c r="E7" s="962"/>
      <c r="F7" s="962"/>
      <c r="G7" s="962"/>
      <c r="H7" s="963"/>
    </row>
    <row r="8" spans="1:8" s="385" customFormat="1" ht="16.5" customHeight="1" x14ac:dyDescent="0.25">
      <c r="A8" s="964"/>
      <c r="B8" s="965"/>
      <c r="C8" s="965"/>
      <c r="D8" s="965"/>
      <c r="E8" s="965"/>
      <c r="F8" s="965"/>
      <c r="G8" s="965"/>
      <c r="H8" s="966"/>
    </row>
    <row r="9" spans="1:8" s="385" customFormat="1" ht="13.8" x14ac:dyDescent="0.25">
      <c r="A9" s="964"/>
      <c r="B9" s="965"/>
      <c r="C9" s="965"/>
      <c r="D9" s="965"/>
      <c r="E9" s="965"/>
      <c r="F9" s="965"/>
      <c r="G9" s="965"/>
      <c r="H9" s="966"/>
    </row>
    <row r="10" spans="1:8" s="385" customFormat="1" thickBot="1" x14ac:dyDescent="0.3">
      <c r="A10" s="967"/>
      <c r="B10" s="968"/>
      <c r="C10" s="968"/>
      <c r="D10" s="968"/>
      <c r="E10" s="968"/>
      <c r="F10" s="968"/>
      <c r="G10" s="968"/>
      <c r="H10" s="969"/>
    </row>
    <row r="11" spans="1:8" s="385" customFormat="1" thickBot="1" x14ac:dyDescent="0.3">
      <c r="A11" s="386"/>
      <c r="B11" s="387"/>
      <c r="C11" s="387"/>
      <c r="D11" s="387"/>
      <c r="E11" s="387"/>
      <c r="F11" s="387"/>
      <c r="G11" s="387"/>
      <c r="H11" s="388"/>
    </row>
    <row r="12" spans="1:8" s="385" customFormat="1" ht="18.600000000000001" thickBot="1" x14ac:dyDescent="0.4">
      <c r="A12" s="990" t="s">
        <v>336</v>
      </c>
      <c r="B12" s="991"/>
      <c r="C12" s="991"/>
      <c r="D12" s="991"/>
      <c r="E12" s="991"/>
      <c r="F12" s="991"/>
      <c r="G12" s="991"/>
      <c r="H12" s="992"/>
    </row>
    <row r="13" spans="1:8" s="385" customFormat="1" ht="13.8" x14ac:dyDescent="0.25">
      <c r="A13" s="707" t="s">
        <v>26</v>
      </c>
      <c r="B13" s="970"/>
      <c r="C13" s="970"/>
      <c r="D13" s="970"/>
      <c r="E13" s="970"/>
      <c r="F13" s="970"/>
      <c r="G13" s="970"/>
      <c r="H13" s="708"/>
    </row>
    <row r="14" spans="1:8" s="385" customFormat="1" ht="13.8" x14ac:dyDescent="0.25">
      <c r="A14" s="247"/>
      <c r="B14" s="202"/>
      <c r="C14" s="202"/>
      <c r="D14" s="202"/>
      <c r="E14" s="202"/>
      <c r="F14" s="208"/>
      <c r="G14" s="202"/>
      <c r="H14" s="244"/>
    </row>
    <row r="15" spans="1:8" s="385" customFormat="1" ht="13.8" x14ac:dyDescent="0.25">
      <c r="A15" s="486" t="s">
        <v>253</v>
      </c>
      <c r="B15" s="971" t="s">
        <v>254</v>
      </c>
      <c r="C15" s="972"/>
      <c r="D15" s="972"/>
      <c r="E15" s="972"/>
      <c r="F15" s="973"/>
      <c r="G15" s="487" t="s">
        <v>28</v>
      </c>
      <c r="H15" s="486" t="s">
        <v>232</v>
      </c>
    </row>
    <row r="16" spans="1:8" s="385" customFormat="1" ht="13.8" x14ac:dyDescent="0.25">
      <c r="A16" s="247"/>
      <c r="B16" s="202"/>
      <c r="C16" s="202"/>
      <c r="D16" s="202"/>
      <c r="E16" s="202"/>
      <c r="F16" s="208"/>
      <c r="G16" s="202"/>
      <c r="H16" s="244"/>
    </row>
    <row r="17" spans="1:13" s="385" customFormat="1" thickBot="1" x14ac:dyDescent="0.3">
      <c r="A17" s="389" t="s">
        <v>29</v>
      </c>
      <c r="B17" s="764" t="s">
        <v>255</v>
      </c>
      <c r="C17" s="765"/>
      <c r="D17" s="765"/>
      <c r="E17" s="765"/>
      <c r="F17" s="765"/>
      <c r="G17" s="766"/>
      <c r="H17" s="244"/>
    </row>
    <row r="18" spans="1:13" s="385" customFormat="1" thickBot="1" x14ac:dyDescent="0.3">
      <c r="A18" s="225"/>
      <c r="B18" s="735" t="s">
        <v>31</v>
      </c>
      <c r="C18" s="736"/>
      <c r="D18" s="225" t="s">
        <v>12</v>
      </c>
      <c r="E18" s="225" t="s">
        <v>33</v>
      </c>
      <c r="F18" s="209" t="s">
        <v>34</v>
      </c>
      <c r="G18" s="225" t="s">
        <v>35</v>
      </c>
      <c r="H18" s="202"/>
      <c r="I18" s="994" t="s">
        <v>345</v>
      </c>
      <c r="J18" s="995"/>
      <c r="K18" s="995"/>
      <c r="L18" s="995"/>
      <c r="M18" s="996"/>
    </row>
    <row r="19" spans="1:13" s="385" customFormat="1" ht="13.8" x14ac:dyDescent="0.25">
      <c r="A19" s="390"/>
      <c r="B19" s="974" t="s">
        <v>256</v>
      </c>
      <c r="C19" s="975"/>
      <c r="D19" s="391" t="s">
        <v>257</v>
      </c>
      <c r="E19" s="392">
        <f>M19</f>
        <v>15000</v>
      </c>
      <c r="F19" s="392">
        <v>3.5</v>
      </c>
      <c r="G19" s="392">
        <f>E19*F19</f>
        <v>52500</v>
      </c>
      <c r="H19" s="245"/>
      <c r="I19" s="484" t="s">
        <v>341</v>
      </c>
      <c r="J19" s="385" t="s">
        <v>342</v>
      </c>
      <c r="L19" s="482">
        <v>120000</v>
      </c>
      <c r="M19" s="482">
        <f>L19/8</f>
        <v>15000</v>
      </c>
    </row>
    <row r="20" spans="1:13" s="385" customFormat="1" ht="13.8" x14ac:dyDescent="0.25">
      <c r="A20" s="199"/>
      <c r="B20" s="974" t="s">
        <v>258</v>
      </c>
      <c r="C20" s="975"/>
      <c r="D20" s="393" t="s">
        <v>257</v>
      </c>
      <c r="E20" s="394">
        <f>M20</f>
        <v>12500</v>
      </c>
      <c r="F20" s="394">
        <v>3.5</v>
      </c>
      <c r="G20" s="394">
        <f>E20*F20</f>
        <v>43750</v>
      </c>
      <c r="H20" s="245"/>
      <c r="I20" s="484" t="s">
        <v>343</v>
      </c>
      <c r="J20" s="385" t="s">
        <v>344</v>
      </c>
      <c r="L20" s="482">
        <v>100000</v>
      </c>
      <c r="M20" s="482">
        <f>L20/8</f>
        <v>12500</v>
      </c>
    </row>
    <row r="21" spans="1:13" s="385" customFormat="1" thickBot="1" x14ac:dyDescent="0.3">
      <c r="A21" s="247"/>
      <c r="B21" s="202"/>
      <c r="C21" s="202"/>
      <c r="D21" s="202"/>
      <c r="E21" s="208" t="s">
        <v>36</v>
      </c>
      <c r="F21" s="208"/>
      <c r="G21" s="208"/>
      <c r="H21" s="395">
        <f>ROUND(SUM(G19:G20),0)</f>
        <v>96250</v>
      </c>
    </row>
    <row r="22" spans="1:13" s="385" customFormat="1" thickBot="1" x14ac:dyDescent="0.3">
      <c r="A22" s="206" t="s">
        <v>37</v>
      </c>
      <c r="B22" s="764" t="s">
        <v>38</v>
      </c>
      <c r="C22" s="765"/>
      <c r="D22" s="765"/>
      <c r="E22" s="765"/>
      <c r="F22" s="765"/>
      <c r="G22" s="766"/>
      <c r="H22" s="222"/>
      <c r="I22" s="994" t="s">
        <v>337</v>
      </c>
      <c r="J22" s="995"/>
      <c r="K22" s="995"/>
      <c r="L22" s="995"/>
      <c r="M22" s="996"/>
    </row>
    <row r="23" spans="1:13" s="385" customFormat="1" ht="13.8" x14ac:dyDescent="0.25">
      <c r="A23" s="225"/>
      <c r="B23" s="735" t="s">
        <v>31</v>
      </c>
      <c r="C23" s="736"/>
      <c r="D23" s="199" t="s">
        <v>12</v>
      </c>
      <c r="E23" s="209" t="s">
        <v>39</v>
      </c>
      <c r="F23" s="209" t="s">
        <v>40</v>
      </c>
      <c r="G23" s="209" t="s">
        <v>35</v>
      </c>
      <c r="H23" s="228"/>
      <c r="I23" s="484" t="s">
        <v>335</v>
      </c>
      <c r="J23" s="385" t="s">
        <v>339</v>
      </c>
      <c r="L23" s="482">
        <v>40000</v>
      </c>
      <c r="M23" s="482">
        <f>L23/50</f>
        <v>800</v>
      </c>
    </row>
    <row r="24" spans="1:13" s="385" customFormat="1" ht="13.8" x14ac:dyDescent="0.25">
      <c r="A24" s="199"/>
      <c r="B24" s="976" t="s">
        <v>259</v>
      </c>
      <c r="C24" s="977"/>
      <c r="D24" s="396" t="s">
        <v>242</v>
      </c>
      <c r="E24" s="397">
        <v>350</v>
      </c>
      <c r="F24" s="398">
        <f>M23</f>
        <v>800</v>
      </c>
      <c r="G24" s="397">
        <f>+F24*E24</f>
        <v>280000</v>
      </c>
      <c r="H24" s="228"/>
      <c r="I24" s="484" t="s">
        <v>334</v>
      </c>
      <c r="J24" s="385" t="s">
        <v>338</v>
      </c>
      <c r="L24" s="482">
        <v>800000</v>
      </c>
      <c r="M24" s="483">
        <f>L24/5</f>
        <v>160000</v>
      </c>
    </row>
    <row r="25" spans="1:13" s="385" customFormat="1" ht="13.8" x14ac:dyDescent="0.25">
      <c r="A25" s="199"/>
      <c r="B25" s="976" t="s">
        <v>260</v>
      </c>
      <c r="C25" s="977"/>
      <c r="D25" s="396" t="s">
        <v>261</v>
      </c>
      <c r="E25" s="397">
        <v>210</v>
      </c>
      <c r="F25" s="398">
        <v>180</v>
      </c>
      <c r="G25" s="397">
        <f>+F25*E25</f>
        <v>37800</v>
      </c>
      <c r="H25" s="228"/>
      <c r="I25" s="484" t="s">
        <v>263</v>
      </c>
      <c r="J25" s="385" t="s">
        <v>338</v>
      </c>
      <c r="L25" s="482">
        <v>1625000</v>
      </c>
      <c r="M25" s="482">
        <f>L25/5</f>
        <v>325000</v>
      </c>
    </row>
    <row r="26" spans="1:13" s="385" customFormat="1" ht="13.8" x14ac:dyDescent="0.25">
      <c r="A26" s="199"/>
      <c r="B26" s="976" t="s">
        <v>262</v>
      </c>
      <c r="C26" s="977"/>
      <c r="D26" s="396" t="s">
        <v>232</v>
      </c>
      <c r="E26" s="399">
        <v>0.56000000000000005</v>
      </c>
      <c r="F26" s="398">
        <f>M24</f>
        <v>160000</v>
      </c>
      <c r="G26" s="397">
        <f>+F26*E26</f>
        <v>89600.000000000015</v>
      </c>
      <c r="H26" s="228"/>
    </row>
    <row r="27" spans="1:13" s="385" customFormat="1" ht="13.8" x14ac:dyDescent="0.25">
      <c r="A27" s="199"/>
      <c r="B27" s="976" t="s">
        <v>263</v>
      </c>
      <c r="C27" s="977"/>
      <c r="D27" s="396" t="s">
        <v>232</v>
      </c>
      <c r="E27" s="399">
        <v>0.84</v>
      </c>
      <c r="F27" s="398">
        <f>M25</f>
        <v>325000</v>
      </c>
      <c r="G27" s="397">
        <f>+F27*E27</f>
        <v>273000</v>
      </c>
      <c r="H27" s="228"/>
    </row>
    <row r="28" spans="1:13" s="385" customFormat="1" ht="13.8" x14ac:dyDescent="0.25">
      <c r="A28" s="248" t="s">
        <v>41</v>
      </c>
      <c r="B28" s="202"/>
      <c r="C28" s="202"/>
      <c r="D28" s="202"/>
      <c r="E28" s="208" t="s">
        <v>42</v>
      </c>
      <c r="F28" s="208"/>
      <c r="G28" s="208"/>
      <c r="H28" s="400">
        <f>(SUM(G24:G27))</f>
        <v>680400</v>
      </c>
    </row>
    <row r="29" spans="1:13" s="385" customFormat="1" ht="13.8" x14ac:dyDescent="0.25">
      <c r="A29" s="206" t="s">
        <v>43</v>
      </c>
      <c r="B29" s="764" t="s">
        <v>44</v>
      </c>
      <c r="C29" s="765"/>
      <c r="D29" s="765"/>
      <c r="E29" s="765"/>
      <c r="F29" s="765"/>
      <c r="G29" s="766"/>
      <c r="H29" s="228"/>
    </row>
    <row r="30" spans="1:13" s="385" customFormat="1" ht="13.8" x14ac:dyDescent="0.25">
      <c r="A30" s="199"/>
      <c r="B30" s="225" t="s">
        <v>31</v>
      </c>
      <c r="C30" s="225" t="s">
        <v>264</v>
      </c>
      <c r="D30" s="225" t="s">
        <v>47</v>
      </c>
      <c r="E30" s="209" t="s">
        <v>39</v>
      </c>
      <c r="F30" s="207" t="s">
        <v>49</v>
      </c>
      <c r="G30" s="207" t="s">
        <v>35</v>
      </c>
      <c r="H30" s="228"/>
    </row>
    <row r="31" spans="1:13" s="385" customFormat="1" ht="13.8" x14ac:dyDescent="0.25">
      <c r="A31" s="199"/>
      <c r="B31" s="199"/>
      <c r="C31" s="401"/>
      <c r="D31" s="221"/>
      <c r="E31" s="210"/>
      <c r="F31" s="402"/>
      <c r="G31" s="403"/>
      <c r="H31" s="228"/>
    </row>
    <row r="32" spans="1:13" s="385" customFormat="1" ht="13.8" x14ac:dyDescent="0.25">
      <c r="A32" s="248"/>
      <c r="B32" s="202"/>
      <c r="C32" s="202"/>
      <c r="D32" s="202"/>
      <c r="E32" s="208" t="s">
        <v>50</v>
      </c>
      <c r="F32" s="208"/>
      <c r="G32" s="208"/>
      <c r="H32" s="400">
        <f>SUM(G31)</f>
        <v>0</v>
      </c>
    </row>
    <row r="33" spans="1:8" s="385" customFormat="1" ht="13.8" x14ac:dyDescent="0.25">
      <c r="A33" s="206" t="s">
        <v>51</v>
      </c>
      <c r="B33" s="764" t="s">
        <v>18</v>
      </c>
      <c r="C33" s="765"/>
      <c r="D33" s="765"/>
      <c r="E33" s="765"/>
      <c r="F33" s="765"/>
      <c r="G33" s="766"/>
      <c r="H33" s="228"/>
    </row>
    <row r="34" spans="1:8" s="385" customFormat="1" ht="13.8" x14ac:dyDescent="0.25">
      <c r="A34" s="199"/>
      <c r="B34" s="199" t="s">
        <v>31</v>
      </c>
      <c r="C34" s="225" t="s">
        <v>12</v>
      </c>
      <c r="D34" s="225" t="s">
        <v>13</v>
      </c>
      <c r="E34" s="225" t="s">
        <v>52</v>
      </c>
      <c r="F34" s="209"/>
      <c r="G34" s="207" t="s">
        <v>53</v>
      </c>
      <c r="H34" s="228"/>
    </row>
    <row r="35" spans="1:8" s="385" customFormat="1" ht="13.8" x14ac:dyDescent="0.25">
      <c r="A35" s="199"/>
      <c r="B35" s="199"/>
      <c r="C35" s="214"/>
      <c r="D35" s="199"/>
      <c r="E35" s="207"/>
      <c r="F35" s="207"/>
      <c r="G35" s="207"/>
      <c r="H35" s="228"/>
    </row>
    <row r="36" spans="1:8" s="385" customFormat="1" ht="13.8" x14ac:dyDescent="0.25">
      <c r="A36" s="248"/>
      <c r="B36" s="202"/>
      <c r="C36" s="202"/>
      <c r="D36" s="202"/>
      <c r="E36" s="208" t="s">
        <v>50</v>
      </c>
      <c r="F36" s="208"/>
      <c r="G36" s="208"/>
      <c r="H36" s="228">
        <f>SUM(G35)</f>
        <v>0</v>
      </c>
    </row>
    <row r="37" spans="1:8" s="385" customFormat="1" ht="13.8" x14ac:dyDescent="0.25">
      <c r="A37" s="247"/>
      <c r="B37" s="202"/>
      <c r="C37" s="202"/>
      <c r="D37" s="202"/>
      <c r="E37" s="208"/>
      <c r="F37" s="208"/>
      <c r="G37" s="208"/>
      <c r="H37" s="228"/>
    </row>
    <row r="38" spans="1:8" s="385" customFormat="1" ht="13.8" x14ac:dyDescent="0.25">
      <c r="A38" s="247"/>
      <c r="B38" s="202"/>
      <c r="C38" s="202"/>
      <c r="D38" s="215" t="s">
        <v>54</v>
      </c>
      <c r="E38" s="216"/>
      <c r="F38" s="216"/>
      <c r="G38" s="216"/>
      <c r="H38" s="404">
        <f>ROUND(SUM(H21:H37),0)</f>
        <v>776650</v>
      </c>
    </row>
    <row r="39" spans="1:8" s="385" customFormat="1" ht="13.8" x14ac:dyDescent="0.25">
      <c r="A39" s="206" t="s">
        <v>55</v>
      </c>
      <c r="B39" s="764" t="s">
        <v>56</v>
      </c>
      <c r="C39" s="765"/>
      <c r="D39" s="765"/>
      <c r="E39" s="765"/>
      <c r="F39" s="765"/>
      <c r="G39" s="766"/>
      <c r="H39" s="228"/>
    </row>
    <row r="40" spans="1:8" s="385" customFormat="1" ht="13.8" x14ac:dyDescent="0.25">
      <c r="A40" s="225"/>
      <c r="B40" s="225" t="s">
        <v>31</v>
      </c>
      <c r="C40" s="225" t="s">
        <v>57</v>
      </c>
      <c r="D40" s="199" t="s">
        <v>58</v>
      </c>
      <c r="E40" s="207"/>
      <c r="F40" s="207" t="s">
        <v>59</v>
      </c>
      <c r="G40" s="207"/>
      <c r="H40" s="228"/>
    </row>
    <row r="41" spans="1:8" s="385" customFormat="1" ht="13.8" x14ac:dyDescent="0.25">
      <c r="A41" s="199"/>
      <c r="B41" s="225" t="s">
        <v>60</v>
      </c>
      <c r="C41" s="212">
        <v>0.1</v>
      </c>
      <c r="D41" s="199"/>
      <c r="E41" s="210"/>
      <c r="F41" s="405"/>
      <c r="G41" s="406">
        <f>+H38*C41</f>
        <v>77665</v>
      </c>
      <c r="H41" s="228"/>
    </row>
    <row r="42" spans="1:8" s="385" customFormat="1" ht="13.8" x14ac:dyDescent="0.25">
      <c r="A42" s="199"/>
      <c r="B42" s="225" t="s">
        <v>61</v>
      </c>
      <c r="C42" s="212">
        <v>0.02</v>
      </c>
      <c r="D42" s="199"/>
      <c r="E42" s="210"/>
      <c r="F42" s="405"/>
      <c r="G42" s="406">
        <f>+H38*C42</f>
        <v>15533</v>
      </c>
      <c r="H42" s="228"/>
    </row>
    <row r="43" spans="1:8" s="385" customFormat="1" ht="13.8" x14ac:dyDescent="0.25">
      <c r="A43" s="247"/>
      <c r="B43" s="202"/>
      <c r="C43" s="202"/>
      <c r="D43" s="215" t="s">
        <v>63</v>
      </c>
      <c r="E43" s="216"/>
      <c r="F43" s="216"/>
      <c r="G43" s="216"/>
      <c r="H43" s="404">
        <f>SUM(G41:G42)</f>
        <v>93198</v>
      </c>
    </row>
    <row r="44" spans="1:8" s="385" customFormat="1" ht="13.8" x14ac:dyDescent="0.25">
      <c r="A44" s="247"/>
      <c r="B44" s="202"/>
      <c r="C44" s="202"/>
      <c r="D44" s="202"/>
      <c r="E44" s="208"/>
      <c r="F44" s="208"/>
      <c r="G44" s="208"/>
      <c r="H44" s="404"/>
    </row>
    <row r="45" spans="1:8" s="385" customFormat="1" ht="13.8" x14ac:dyDescent="0.25">
      <c r="A45" s="247"/>
      <c r="B45" s="202"/>
      <c r="C45" s="202"/>
      <c r="D45" s="215" t="s">
        <v>64</v>
      </c>
      <c r="E45" s="216"/>
      <c r="F45" s="216"/>
      <c r="G45" s="208"/>
      <c r="H45" s="404">
        <f>ROUND((H38+H43),0)</f>
        <v>869848</v>
      </c>
    </row>
    <row r="46" spans="1:8" s="385" customFormat="1" ht="13.8" x14ac:dyDescent="0.25">
      <c r="A46" s="247"/>
      <c r="B46" s="202"/>
      <c r="C46" s="202"/>
      <c r="D46" s="215"/>
      <c r="E46" s="216"/>
      <c r="F46" s="216"/>
      <c r="G46" s="208"/>
      <c r="H46" s="404"/>
    </row>
    <row r="47" spans="1:8" s="385" customFormat="1" ht="13.8" x14ac:dyDescent="0.25">
      <c r="A47" s="247"/>
      <c r="B47" s="202"/>
      <c r="C47" s="202"/>
      <c r="D47" s="215"/>
      <c r="E47" s="216"/>
      <c r="F47" s="216"/>
      <c r="G47" s="208"/>
      <c r="H47" s="404"/>
    </row>
    <row r="48" spans="1:8" s="385" customFormat="1" ht="13.8" x14ac:dyDescent="0.25">
      <c r="A48" s="247"/>
      <c r="B48" s="202"/>
      <c r="C48" s="202"/>
      <c r="D48" s="215"/>
      <c r="E48" s="216"/>
      <c r="F48" s="216"/>
      <c r="G48" s="208"/>
      <c r="H48" s="404"/>
    </row>
    <row r="49" spans="1:8" s="385" customFormat="1" ht="13.8" x14ac:dyDescent="0.25">
      <c r="A49" s="247"/>
      <c r="B49" s="204"/>
      <c r="C49" s="202"/>
      <c r="D49" s="215"/>
      <c r="E49" s="216"/>
      <c r="F49" s="216"/>
      <c r="G49" s="208"/>
      <c r="H49" s="228"/>
    </row>
    <row r="50" spans="1:8" s="385" customFormat="1" ht="13.8" x14ac:dyDescent="0.25">
      <c r="A50" s="407" t="str">
        <f>Presupuesto!D65</f>
        <v>ARQ. GUILLERMO YAMID VALLEJOS BENAVIDES</v>
      </c>
      <c r="B50" s="217"/>
      <c r="C50" s="202"/>
      <c r="D50" s="215"/>
      <c r="F50" s="208"/>
      <c r="G50" s="208"/>
      <c r="H50" s="228"/>
    </row>
    <row r="51" spans="1:8" s="385" customFormat="1" ht="13.8" x14ac:dyDescent="0.25">
      <c r="A51" s="407" t="str">
        <f>Presupuesto!D66</f>
        <v>SECRETARIO DE PLANEACION Y OBRAS PUBLICAS</v>
      </c>
      <c r="B51" s="217"/>
      <c r="C51" s="202"/>
      <c r="D51" s="202"/>
      <c r="F51" s="208"/>
      <c r="G51" s="208"/>
      <c r="H51" s="228"/>
    </row>
    <row r="52" spans="1:8" s="385" customFormat="1" ht="13.8" x14ac:dyDescent="0.25">
      <c r="A52" s="407" t="str">
        <f>Presupuesto!D67</f>
        <v>SAN MIGUEL - PUTUMAYO</v>
      </c>
      <c r="B52" s="251"/>
      <c r="C52" s="204"/>
      <c r="D52" s="204"/>
      <c r="F52" s="203"/>
      <c r="G52" s="203"/>
      <c r="H52" s="246"/>
    </row>
    <row r="53" spans="1:8" x14ac:dyDescent="0.3">
      <c r="A53" s="937"/>
      <c r="B53" s="939" t="s">
        <v>193</v>
      </c>
      <c r="C53" s="940"/>
      <c r="D53" s="941"/>
      <c r="E53" s="945" t="s">
        <v>194</v>
      </c>
      <c r="F53" s="945"/>
      <c r="G53" s="383">
        <v>103</v>
      </c>
      <c r="H53" s="945"/>
    </row>
    <row r="54" spans="1:8" x14ac:dyDescent="0.3">
      <c r="A54" s="938"/>
      <c r="B54" s="942"/>
      <c r="C54" s="943"/>
      <c r="D54" s="944"/>
      <c r="E54" s="947" t="s">
        <v>195</v>
      </c>
      <c r="F54" s="947"/>
      <c r="G54" s="945">
        <v>51</v>
      </c>
      <c r="H54" s="945"/>
    </row>
    <row r="55" spans="1:8" x14ac:dyDescent="0.3">
      <c r="A55" s="938"/>
      <c r="B55" s="948" t="s">
        <v>196</v>
      </c>
      <c r="C55" s="949"/>
      <c r="D55" s="950"/>
      <c r="E55" s="947"/>
      <c r="F55" s="947"/>
      <c r="G55" s="945"/>
      <c r="H55" s="945"/>
    </row>
    <row r="56" spans="1:8" x14ac:dyDescent="0.3">
      <c r="A56" s="938"/>
      <c r="B56" s="951" t="s">
        <v>197</v>
      </c>
      <c r="C56" s="952"/>
      <c r="D56" s="953"/>
      <c r="E56" s="945" t="s">
        <v>198</v>
      </c>
      <c r="F56" s="945"/>
      <c r="G56" s="383">
        <v>1</v>
      </c>
      <c r="H56" s="945"/>
    </row>
    <row r="57" spans="1:8" x14ac:dyDescent="0.3">
      <c r="A57" s="938"/>
      <c r="B57" s="954" t="s">
        <v>199</v>
      </c>
      <c r="C57" s="955"/>
      <c r="D57" s="956"/>
      <c r="E57" s="947" t="s">
        <v>200</v>
      </c>
      <c r="F57" s="947"/>
      <c r="G57" s="383" t="s">
        <v>201</v>
      </c>
      <c r="H57" s="945"/>
    </row>
    <row r="58" spans="1:8" x14ac:dyDescent="0.3">
      <c r="A58" s="984"/>
      <c r="B58" s="844"/>
      <c r="C58" s="980"/>
      <c r="D58" s="845"/>
      <c r="E58" s="947"/>
      <c r="F58" s="947"/>
      <c r="G58" s="384">
        <v>44216</v>
      </c>
      <c r="H58" s="945"/>
    </row>
    <row r="59" spans="1:8" x14ac:dyDescent="0.3">
      <c r="A59" s="981" t="str">
        <f>Presupuesto!A8</f>
        <v>ADECUACION Y MEJORAMIENTO DE AULAS ESCOLARES UBICADA EN LA INSTITUCION EDUCATIVA TECNICO COMERCIAL LA DORADA SEDE ESCUELA CENTRAL DEL MUNICIPIO DE SAN MIGUEL PUTUMAYO</v>
      </c>
      <c r="B59" s="982"/>
      <c r="C59" s="982"/>
      <c r="D59" s="982"/>
      <c r="E59" s="982"/>
      <c r="F59" s="982"/>
      <c r="G59" s="982"/>
      <c r="H59" s="983"/>
    </row>
    <row r="60" spans="1:8" x14ac:dyDescent="0.3">
      <c r="A60" s="981"/>
      <c r="B60" s="982"/>
      <c r="C60" s="982"/>
      <c r="D60" s="982"/>
      <c r="E60" s="982"/>
      <c r="F60" s="982"/>
      <c r="G60" s="982"/>
      <c r="H60" s="983"/>
    </row>
    <row r="61" spans="1:8" x14ac:dyDescent="0.3">
      <c r="A61" s="981"/>
      <c r="B61" s="982"/>
      <c r="C61" s="982"/>
      <c r="D61" s="982"/>
      <c r="E61" s="982"/>
      <c r="F61" s="982"/>
      <c r="G61" s="982"/>
      <c r="H61" s="983"/>
    </row>
    <row r="62" spans="1:8" x14ac:dyDescent="0.3">
      <c r="A62" s="386"/>
      <c r="B62" s="387"/>
      <c r="C62" s="387"/>
      <c r="D62" s="387"/>
      <c r="E62" s="387"/>
      <c r="F62" s="387"/>
      <c r="G62" s="387"/>
      <c r="H62" s="388"/>
    </row>
    <row r="63" spans="1:8" x14ac:dyDescent="0.3">
      <c r="A63" s="707" t="s">
        <v>26</v>
      </c>
      <c r="B63" s="970"/>
      <c r="C63" s="970"/>
      <c r="D63" s="970"/>
      <c r="E63" s="970"/>
      <c r="F63" s="970"/>
      <c r="G63" s="970"/>
      <c r="H63" s="708"/>
    </row>
    <row r="64" spans="1:8" x14ac:dyDescent="0.3">
      <c r="A64" s="247"/>
      <c r="B64" s="202"/>
      <c r="C64" s="202"/>
      <c r="D64" s="202"/>
      <c r="E64" s="202"/>
      <c r="F64" s="208"/>
      <c r="G64" s="202"/>
      <c r="H64" s="244"/>
    </row>
    <row r="65" spans="1:13" x14ac:dyDescent="0.3">
      <c r="A65" s="486" t="s">
        <v>265</v>
      </c>
      <c r="B65" s="971" t="s">
        <v>266</v>
      </c>
      <c r="C65" s="972"/>
      <c r="D65" s="972"/>
      <c r="E65" s="972"/>
      <c r="F65" s="973"/>
      <c r="G65" s="487" t="s">
        <v>28</v>
      </c>
      <c r="H65" s="486" t="s">
        <v>232</v>
      </c>
    </row>
    <row r="66" spans="1:13" x14ac:dyDescent="0.3">
      <c r="A66" s="247"/>
      <c r="B66" s="202"/>
      <c r="C66" s="202"/>
      <c r="D66" s="202"/>
      <c r="E66" s="202"/>
      <c r="F66" s="208"/>
      <c r="G66" s="202"/>
      <c r="H66" s="244"/>
    </row>
    <row r="67" spans="1:13" ht="15" thickBot="1" x14ac:dyDescent="0.35">
      <c r="A67" s="389" t="s">
        <v>29</v>
      </c>
      <c r="B67" s="764" t="s">
        <v>255</v>
      </c>
      <c r="C67" s="765"/>
      <c r="D67" s="765"/>
      <c r="E67" s="765"/>
      <c r="F67" s="765"/>
      <c r="G67" s="766"/>
      <c r="H67" s="244"/>
    </row>
    <row r="68" spans="1:13" ht="15" thickBot="1" x14ac:dyDescent="0.35">
      <c r="A68" s="225"/>
      <c r="B68" s="735" t="s">
        <v>31</v>
      </c>
      <c r="C68" s="736"/>
      <c r="D68" s="225" t="s">
        <v>12</v>
      </c>
      <c r="E68" s="225" t="s">
        <v>33</v>
      </c>
      <c r="F68" s="209" t="s">
        <v>34</v>
      </c>
      <c r="G68" s="225" t="s">
        <v>35</v>
      </c>
      <c r="H68" s="244"/>
      <c r="I68" s="994" t="s">
        <v>345</v>
      </c>
      <c r="J68" s="995"/>
      <c r="K68" s="995"/>
      <c r="L68" s="995"/>
      <c r="M68" s="996"/>
    </row>
    <row r="69" spans="1:13" x14ac:dyDescent="0.3">
      <c r="A69" s="390"/>
      <c r="B69" s="978"/>
      <c r="C69" s="979"/>
      <c r="D69" s="391"/>
      <c r="E69" s="392"/>
      <c r="F69" s="392"/>
      <c r="G69" s="392"/>
      <c r="H69" s="245"/>
      <c r="I69" s="484" t="s">
        <v>341</v>
      </c>
      <c r="J69" s="385" t="s">
        <v>342</v>
      </c>
      <c r="K69" s="385"/>
      <c r="L69" s="482">
        <v>120000</v>
      </c>
      <c r="M69" s="482">
        <f>L69/8</f>
        <v>15000</v>
      </c>
    </row>
    <row r="70" spans="1:13" x14ac:dyDescent="0.3">
      <c r="A70" s="199"/>
      <c r="B70" s="974"/>
      <c r="C70" s="975"/>
      <c r="D70" s="393"/>
      <c r="E70" s="394"/>
      <c r="F70" s="394"/>
      <c r="G70" s="394"/>
      <c r="H70" s="245"/>
      <c r="I70" s="484" t="s">
        <v>343</v>
      </c>
      <c r="J70" s="385" t="s">
        <v>344</v>
      </c>
      <c r="K70" s="385"/>
      <c r="L70" s="482">
        <v>100000</v>
      </c>
      <c r="M70" s="482">
        <f>L70/8</f>
        <v>12500</v>
      </c>
    </row>
    <row r="71" spans="1:13" ht="15" thickBot="1" x14ac:dyDescent="0.35">
      <c r="A71" s="247"/>
      <c r="B71" s="202"/>
      <c r="C71" s="202"/>
      <c r="D71" s="202"/>
      <c r="E71" s="208" t="s">
        <v>36</v>
      </c>
      <c r="F71" s="208"/>
      <c r="G71" s="208"/>
      <c r="H71" s="395">
        <f>ROUND(SUM(G69:G70),0)</f>
        <v>0</v>
      </c>
    </row>
    <row r="72" spans="1:13" ht="15" thickBot="1" x14ac:dyDescent="0.35">
      <c r="A72" s="206" t="s">
        <v>37</v>
      </c>
      <c r="B72" s="764" t="s">
        <v>38</v>
      </c>
      <c r="C72" s="765"/>
      <c r="D72" s="765"/>
      <c r="E72" s="765"/>
      <c r="F72" s="765"/>
      <c r="G72" s="766"/>
      <c r="H72" s="228"/>
      <c r="I72" s="994" t="s">
        <v>337</v>
      </c>
      <c r="J72" s="995"/>
      <c r="K72" s="995"/>
      <c r="L72" s="995"/>
      <c r="M72" s="996"/>
    </row>
    <row r="73" spans="1:13" x14ac:dyDescent="0.3">
      <c r="A73" s="225"/>
      <c r="B73" s="735" t="s">
        <v>31</v>
      </c>
      <c r="C73" s="736"/>
      <c r="D73" s="199" t="s">
        <v>12</v>
      </c>
      <c r="E73" s="209" t="s">
        <v>39</v>
      </c>
      <c r="F73" s="209" t="s">
        <v>40</v>
      </c>
      <c r="G73" s="209" t="s">
        <v>35</v>
      </c>
      <c r="H73" s="228"/>
      <c r="I73" s="484" t="s">
        <v>335</v>
      </c>
      <c r="J73" s="385" t="s">
        <v>339</v>
      </c>
      <c r="K73" s="385"/>
      <c r="L73" s="482">
        <v>40000</v>
      </c>
      <c r="M73" s="482">
        <f>L73/50</f>
        <v>800</v>
      </c>
    </row>
    <row r="74" spans="1:13" x14ac:dyDescent="0.3">
      <c r="A74" s="199"/>
      <c r="B74" s="976" t="s">
        <v>259</v>
      </c>
      <c r="C74" s="977"/>
      <c r="D74" s="396" t="s">
        <v>242</v>
      </c>
      <c r="E74" s="397">
        <v>450</v>
      </c>
      <c r="F74" s="408">
        <f>M73</f>
        <v>800</v>
      </c>
      <c r="G74" s="397">
        <f>+F74*E74</f>
        <v>360000</v>
      </c>
      <c r="H74" s="228"/>
      <c r="I74" s="484" t="s">
        <v>334</v>
      </c>
      <c r="J74" s="385" t="s">
        <v>338</v>
      </c>
      <c r="K74" s="385"/>
      <c r="L74" s="482">
        <v>800000</v>
      </c>
      <c r="M74" s="483">
        <f>L74/5</f>
        <v>160000</v>
      </c>
    </row>
    <row r="75" spans="1:13" x14ac:dyDescent="0.3">
      <c r="A75" s="199"/>
      <c r="B75" s="976" t="s">
        <v>260</v>
      </c>
      <c r="C75" s="977"/>
      <c r="D75" s="396" t="s">
        <v>261</v>
      </c>
      <c r="E75" s="397">
        <v>260</v>
      </c>
      <c r="F75" s="408">
        <v>180</v>
      </c>
      <c r="G75" s="397">
        <f>+F75*E75</f>
        <v>46800</v>
      </c>
      <c r="H75" s="228"/>
      <c r="I75" s="484" t="s">
        <v>263</v>
      </c>
      <c r="J75" s="385" t="s">
        <v>338</v>
      </c>
      <c r="K75" s="385"/>
      <c r="L75" s="482">
        <v>1625000</v>
      </c>
      <c r="M75" s="482">
        <f>L75/5</f>
        <v>325000</v>
      </c>
    </row>
    <row r="76" spans="1:13" x14ac:dyDescent="0.3">
      <c r="A76" s="199"/>
      <c r="B76" s="976" t="s">
        <v>262</v>
      </c>
      <c r="C76" s="977"/>
      <c r="D76" s="396" t="s">
        <v>232</v>
      </c>
      <c r="E76" s="399">
        <v>1.08</v>
      </c>
      <c r="F76" s="408">
        <f>M74</f>
        <v>160000</v>
      </c>
      <c r="G76" s="397">
        <f>+F76*E76</f>
        <v>172800</v>
      </c>
      <c r="H76" s="228"/>
    </row>
    <row r="77" spans="1:13" x14ac:dyDescent="0.3">
      <c r="A77" s="199"/>
      <c r="B77" s="976"/>
      <c r="C77" s="977"/>
      <c r="D77" s="396"/>
      <c r="E77" s="399"/>
      <c r="F77" s="398"/>
      <c r="G77" s="397"/>
      <c r="H77" s="228"/>
    </row>
    <row r="78" spans="1:13" x14ac:dyDescent="0.3">
      <c r="A78" s="248" t="s">
        <v>41</v>
      </c>
      <c r="B78" s="202"/>
      <c r="C78" s="202"/>
      <c r="D78" s="202"/>
      <c r="E78" s="208" t="s">
        <v>42</v>
      </c>
      <c r="F78" s="208"/>
      <c r="G78" s="208"/>
      <c r="H78" s="400">
        <f>(SUM(G74:G77))</f>
        <v>579600</v>
      </c>
    </row>
    <row r="79" spans="1:13" x14ac:dyDescent="0.3">
      <c r="A79" s="206" t="s">
        <v>43</v>
      </c>
      <c r="B79" s="764" t="s">
        <v>44</v>
      </c>
      <c r="C79" s="765"/>
      <c r="D79" s="765"/>
      <c r="E79" s="765"/>
      <c r="F79" s="765"/>
      <c r="G79" s="766"/>
      <c r="H79" s="228"/>
    </row>
    <row r="80" spans="1:13" x14ac:dyDescent="0.3">
      <c r="A80" s="199"/>
      <c r="B80" s="225" t="s">
        <v>31</v>
      </c>
      <c r="C80" s="225" t="s">
        <v>264</v>
      </c>
      <c r="D80" s="225" t="s">
        <v>47</v>
      </c>
      <c r="E80" s="209" t="s">
        <v>39</v>
      </c>
      <c r="F80" s="207" t="s">
        <v>49</v>
      </c>
      <c r="G80" s="207" t="s">
        <v>35</v>
      </c>
      <c r="H80" s="228"/>
    </row>
    <row r="81" spans="1:8" x14ac:dyDescent="0.3">
      <c r="A81" s="199"/>
      <c r="B81" s="199"/>
      <c r="C81" s="401"/>
      <c r="D81" s="221"/>
      <c r="E81" s="210"/>
      <c r="F81" s="402"/>
      <c r="G81" s="403"/>
      <c r="H81" s="228"/>
    </row>
    <row r="82" spans="1:8" x14ac:dyDescent="0.3">
      <c r="A82" s="248"/>
      <c r="B82" s="202"/>
      <c r="C82" s="202"/>
      <c r="D82" s="202"/>
      <c r="E82" s="208" t="s">
        <v>50</v>
      </c>
      <c r="F82" s="208"/>
      <c r="G82" s="208"/>
      <c r="H82" s="400">
        <f>SUM(G81)</f>
        <v>0</v>
      </c>
    </row>
    <row r="83" spans="1:8" x14ac:dyDescent="0.3">
      <c r="A83" s="206" t="s">
        <v>51</v>
      </c>
      <c r="B83" s="764" t="s">
        <v>18</v>
      </c>
      <c r="C83" s="765"/>
      <c r="D83" s="765"/>
      <c r="E83" s="765"/>
      <c r="F83" s="765"/>
      <c r="G83" s="766"/>
      <c r="H83" s="228"/>
    </row>
    <row r="84" spans="1:8" x14ac:dyDescent="0.3">
      <c r="A84" s="199"/>
      <c r="B84" s="199" t="s">
        <v>31</v>
      </c>
      <c r="C84" s="225" t="s">
        <v>12</v>
      </c>
      <c r="D84" s="225" t="s">
        <v>13</v>
      </c>
      <c r="E84" s="225" t="s">
        <v>52</v>
      </c>
      <c r="F84" s="209"/>
      <c r="G84" s="207" t="s">
        <v>53</v>
      </c>
      <c r="H84" s="228"/>
    </row>
    <row r="85" spans="1:8" x14ac:dyDescent="0.3">
      <c r="A85" s="199"/>
      <c r="B85" s="199"/>
      <c r="C85" s="214"/>
      <c r="D85" s="199"/>
      <c r="E85" s="207"/>
      <c r="F85" s="207"/>
      <c r="G85" s="207"/>
      <c r="H85" s="228"/>
    </row>
    <row r="86" spans="1:8" x14ac:dyDescent="0.3">
      <c r="A86" s="248"/>
      <c r="B86" s="202"/>
      <c r="C86" s="202"/>
      <c r="D86" s="202"/>
      <c r="E86" s="208" t="s">
        <v>50</v>
      </c>
      <c r="F86" s="208"/>
      <c r="G86" s="208"/>
      <c r="H86" s="228">
        <f>SUM(G85)</f>
        <v>0</v>
      </c>
    </row>
    <row r="87" spans="1:8" x14ac:dyDescent="0.3">
      <c r="A87" s="247"/>
      <c r="B87" s="202"/>
      <c r="C87" s="202"/>
      <c r="D87" s="202"/>
      <c r="E87" s="208"/>
      <c r="F87" s="208"/>
      <c r="G87" s="208"/>
      <c r="H87" s="228"/>
    </row>
    <row r="88" spans="1:8" x14ac:dyDescent="0.3">
      <c r="A88" s="247"/>
      <c r="B88" s="202"/>
      <c r="C88" s="202"/>
      <c r="D88" s="215" t="s">
        <v>54</v>
      </c>
      <c r="E88" s="216"/>
      <c r="F88" s="216"/>
      <c r="G88" s="216"/>
      <c r="H88" s="404">
        <f>ROUND(SUM(H71:H87),0)</f>
        <v>579600</v>
      </c>
    </row>
    <row r="89" spans="1:8" x14ac:dyDescent="0.3">
      <c r="A89" s="206" t="s">
        <v>55</v>
      </c>
      <c r="B89" s="764" t="s">
        <v>56</v>
      </c>
      <c r="C89" s="765"/>
      <c r="D89" s="765"/>
      <c r="E89" s="765"/>
      <c r="F89" s="765"/>
      <c r="G89" s="766"/>
      <c r="H89" s="228"/>
    </row>
    <row r="90" spans="1:8" x14ac:dyDescent="0.3">
      <c r="A90" s="225"/>
      <c r="B90" s="225" t="s">
        <v>31</v>
      </c>
      <c r="C90" s="225" t="s">
        <v>57</v>
      </c>
      <c r="D90" s="199" t="s">
        <v>58</v>
      </c>
      <c r="E90" s="207"/>
      <c r="F90" s="207" t="s">
        <v>59</v>
      </c>
      <c r="G90" s="207"/>
      <c r="H90" s="228"/>
    </row>
    <row r="91" spans="1:8" x14ac:dyDescent="0.3">
      <c r="A91" s="199"/>
      <c r="B91" s="225" t="s">
        <v>60</v>
      </c>
      <c r="C91" s="212">
        <v>0.1</v>
      </c>
      <c r="D91" s="199"/>
      <c r="E91" s="210"/>
      <c r="F91" s="405"/>
      <c r="G91" s="406">
        <f>+H88*C91</f>
        <v>57960</v>
      </c>
      <c r="H91" s="228"/>
    </row>
    <row r="92" spans="1:8" x14ac:dyDescent="0.3">
      <c r="A92" s="199"/>
      <c r="B92" s="225" t="s">
        <v>61</v>
      </c>
      <c r="C92" s="212">
        <v>0.02</v>
      </c>
      <c r="D92" s="199"/>
      <c r="E92" s="210"/>
      <c r="F92" s="405"/>
      <c r="G92" s="406">
        <f>+H88*C92</f>
        <v>11592</v>
      </c>
      <c r="H92" s="228"/>
    </row>
    <row r="93" spans="1:8" x14ac:dyDescent="0.3">
      <c r="A93" s="247"/>
      <c r="B93" s="202"/>
      <c r="C93" s="202"/>
      <c r="D93" s="215" t="s">
        <v>63</v>
      </c>
      <c r="E93" s="216"/>
      <c r="F93" s="216"/>
      <c r="G93" s="216"/>
      <c r="H93" s="404">
        <f>SUM(G91:G92)</f>
        <v>69552</v>
      </c>
    </row>
    <row r="94" spans="1:8" x14ac:dyDescent="0.3">
      <c r="A94" s="247"/>
      <c r="B94" s="202"/>
      <c r="C94" s="202"/>
      <c r="D94" s="202"/>
      <c r="E94" s="208"/>
      <c r="F94" s="208"/>
      <c r="G94" s="208"/>
      <c r="H94" s="404"/>
    </row>
    <row r="95" spans="1:8" x14ac:dyDescent="0.3">
      <c r="A95" s="247"/>
      <c r="B95" s="202"/>
      <c r="C95" s="202"/>
      <c r="D95" s="215" t="s">
        <v>64</v>
      </c>
      <c r="E95" s="216"/>
      <c r="F95" s="216"/>
      <c r="G95" s="208"/>
      <c r="H95" s="404">
        <f>ROUND((H88+H93),0)</f>
        <v>649152</v>
      </c>
    </row>
    <row r="96" spans="1:8" x14ac:dyDescent="0.3">
      <c r="A96" s="247"/>
      <c r="B96" s="202"/>
      <c r="C96" s="202"/>
    </row>
    <row r="97" spans="1:8" x14ac:dyDescent="0.3">
      <c r="A97" s="247"/>
      <c r="B97" s="202"/>
      <c r="C97" s="202"/>
    </row>
    <row r="98" spans="1:8" x14ac:dyDescent="0.3">
      <c r="A98" s="247"/>
      <c r="B98" s="202"/>
      <c r="C98" s="202"/>
    </row>
    <row r="99" spans="1:8" x14ac:dyDescent="0.3">
      <c r="A99" s="409"/>
      <c r="B99" s="204"/>
      <c r="C99" s="202"/>
    </row>
    <row r="100" spans="1:8" x14ac:dyDescent="0.3">
      <c r="A100" s="216" t="str">
        <f>Presupuesto!D65</f>
        <v>ARQ. GUILLERMO YAMID VALLEJOS BENAVIDES</v>
      </c>
      <c r="B100" s="217"/>
      <c r="C100" s="202"/>
    </row>
    <row r="101" spans="1:8" x14ac:dyDescent="0.3">
      <c r="A101" s="216" t="str">
        <f>Presupuesto!D66</f>
        <v>SECRETARIO DE PLANEACION Y OBRAS PUBLICAS</v>
      </c>
      <c r="B101" s="217"/>
      <c r="C101" s="202"/>
    </row>
    <row r="102" spans="1:8" x14ac:dyDescent="0.3">
      <c r="A102" s="216" t="str">
        <f>Presupuesto!D67</f>
        <v>SAN MIGUEL - PUTUMAYO</v>
      </c>
      <c r="B102" s="251"/>
      <c r="C102" s="204"/>
    </row>
    <row r="103" spans="1:8" x14ac:dyDescent="0.3">
      <c r="A103" s="937"/>
      <c r="B103" s="939" t="s">
        <v>193</v>
      </c>
      <c r="C103" s="940"/>
      <c r="D103" s="941"/>
      <c r="E103" s="948" t="s">
        <v>194</v>
      </c>
      <c r="F103" s="950"/>
      <c r="G103" s="383">
        <v>103</v>
      </c>
      <c r="H103" s="946"/>
    </row>
    <row r="104" spans="1:8" x14ac:dyDescent="0.3">
      <c r="A104" s="938"/>
      <c r="B104" s="942"/>
      <c r="C104" s="943"/>
      <c r="D104" s="944"/>
      <c r="E104" s="985" t="s">
        <v>195</v>
      </c>
      <c r="F104" s="986"/>
      <c r="G104" s="946">
        <v>51</v>
      </c>
      <c r="H104" s="993"/>
    </row>
    <row r="105" spans="1:8" x14ac:dyDescent="0.3">
      <c r="A105" s="938"/>
      <c r="B105" s="948" t="s">
        <v>196</v>
      </c>
      <c r="C105" s="949"/>
      <c r="D105" s="950"/>
      <c r="E105" s="987"/>
      <c r="F105" s="988"/>
      <c r="G105" s="989"/>
      <c r="H105" s="993"/>
    </row>
    <row r="106" spans="1:8" x14ac:dyDescent="0.3">
      <c r="A106" s="938"/>
      <c r="B106" s="951" t="s">
        <v>197</v>
      </c>
      <c r="C106" s="952"/>
      <c r="D106" s="953"/>
      <c r="E106" s="948" t="s">
        <v>198</v>
      </c>
      <c r="F106" s="950"/>
      <c r="G106" s="383">
        <v>1</v>
      </c>
      <c r="H106" s="993"/>
    </row>
    <row r="107" spans="1:8" x14ac:dyDescent="0.3">
      <c r="A107" s="938"/>
      <c r="B107" s="954" t="s">
        <v>199</v>
      </c>
      <c r="C107" s="955"/>
      <c r="D107" s="956"/>
      <c r="E107" s="985" t="s">
        <v>200</v>
      </c>
      <c r="F107" s="986"/>
      <c r="G107" s="383" t="s">
        <v>201</v>
      </c>
      <c r="H107" s="993"/>
    </row>
    <row r="108" spans="1:8" x14ac:dyDescent="0.3">
      <c r="A108" s="984"/>
      <c r="B108" s="844"/>
      <c r="C108" s="980"/>
      <c r="D108" s="845"/>
      <c r="E108" s="987"/>
      <c r="F108" s="988"/>
      <c r="G108" s="384">
        <v>44216</v>
      </c>
      <c r="H108" s="989"/>
    </row>
    <row r="109" spans="1:8" x14ac:dyDescent="0.3">
      <c r="A109" s="410"/>
      <c r="B109" s="411"/>
      <c r="C109" s="412"/>
      <c r="D109" s="412"/>
      <c r="E109" s="412"/>
      <c r="F109" s="412"/>
      <c r="G109" s="413"/>
      <c r="H109" s="414"/>
    </row>
    <row r="110" spans="1:8" s="385" customFormat="1" ht="16.5" customHeight="1" x14ac:dyDescent="0.25">
      <c r="A110" s="981" t="str">
        <f>Presupuesto!A8</f>
        <v>ADECUACION Y MEJORAMIENTO DE AULAS ESCOLARES UBICADA EN LA INSTITUCION EDUCATIVA TECNICO COMERCIAL LA DORADA SEDE ESCUELA CENTRAL DEL MUNICIPIO DE SAN MIGUEL PUTUMAYO</v>
      </c>
      <c r="B110" s="982"/>
      <c r="C110" s="982"/>
      <c r="D110" s="982"/>
      <c r="E110" s="982"/>
      <c r="F110" s="982"/>
      <c r="G110" s="982"/>
      <c r="H110" s="983"/>
    </row>
    <row r="111" spans="1:8" s="385" customFormat="1" ht="13.8" x14ac:dyDescent="0.25">
      <c r="A111" s="981"/>
      <c r="B111" s="982"/>
      <c r="C111" s="982"/>
      <c r="D111" s="982"/>
      <c r="E111" s="982"/>
      <c r="F111" s="982"/>
      <c r="G111" s="982"/>
      <c r="H111" s="983"/>
    </row>
    <row r="112" spans="1:8" s="385" customFormat="1" ht="13.8" x14ac:dyDescent="0.25">
      <c r="A112" s="981"/>
      <c r="B112" s="982"/>
      <c r="C112" s="982"/>
      <c r="D112" s="982"/>
      <c r="E112" s="982"/>
      <c r="F112" s="982"/>
      <c r="G112" s="982"/>
      <c r="H112" s="983"/>
    </row>
    <row r="113" spans="1:13" s="385" customFormat="1" ht="13.8" x14ac:dyDescent="0.25">
      <c r="A113" s="386"/>
      <c r="B113" s="387"/>
      <c r="C113" s="387"/>
      <c r="D113" s="387"/>
      <c r="E113" s="387"/>
      <c r="F113" s="387"/>
      <c r="G113" s="387"/>
      <c r="H113" s="388"/>
    </row>
    <row r="114" spans="1:13" s="385" customFormat="1" ht="13.8" x14ac:dyDescent="0.25">
      <c r="A114" s="707" t="s">
        <v>26</v>
      </c>
      <c r="B114" s="970"/>
      <c r="C114" s="970"/>
      <c r="D114" s="970"/>
      <c r="E114" s="970"/>
      <c r="F114" s="970"/>
      <c r="G114" s="970"/>
      <c r="H114" s="708"/>
    </row>
    <row r="115" spans="1:13" s="385" customFormat="1" ht="13.8" x14ac:dyDescent="0.25">
      <c r="A115" s="247"/>
      <c r="B115" s="202"/>
      <c r="C115" s="202"/>
      <c r="D115" s="202"/>
      <c r="E115" s="202"/>
      <c r="F115" s="208"/>
      <c r="G115" s="202"/>
      <c r="H115" s="244"/>
    </row>
    <row r="116" spans="1:13" s="385" customFormat="1" ht="13.8" x14ac:dyDescent="0.25">
      <c r="A116" s="486" t="s">
        <v>267</v>
      </c>
      <c r="B116" s="971" t="s">
        <v>268</v>
      </c>
      <c r="C116" s="972"/>
      <c r="D116" s="972"/>
      <c r="E116" s="972"/>
      <c r="F116" s="973"/>
      <c r="G116" s="487" t="s">
        <v>28</v>
      </c>
      <c r="H116" s="486" t="s">
        <v>232</v>
      </c>
    </row>
    <row r="117" spans="1:13" s="385" customFormat="1" ht="13.8" x14ac:dyDescent="0.25">
      <c r="A117" s="247"/>
      <c r="B117" s="202"/>
      <c r="C117" s="202"/>
      <c r="D117" s="202"/>
      <c r="E117" s="202"/>
      <c r="F117" s="208"/>
      <c r="G117" s="202"/>
      <c r="H117" s="244"/>
    </row>
    <row r="118" spans="1:13" s="385" customFormat="1" thickBot="1" x14ac:dyDescent="0.3">
      <c r="A118" s="389" t="s">
        <v>29</v>
      </c>
      <c r="B118" s="764" t="s">
        <v>255</v>
      </c>
      <c r="C118" s="765"/>
      <c r="D118" s="765"/>
      <c r="E118" s="765"/>
      <c r="F118" s="765"/>
      <c r="G118" s="766"/>
      <c r="H118" s="244"/>
    </row>
    <row r="119" spans="1:13" s="385" customFormat="1" thickBot="1" x14ac:dyDescent="0.3">
      <c r="A119" s="225"/>
      <c r="B119" s="735" t="s">
        <v>31</v>
      </c>
      <c r="C119" s="736"/>
      <c r="D119" s="225" t="s">
        <v>12</v>
      </c>
      <c r="E119" s="225" t="s">
        <v>33</v>
      </c>
      <c r="F119" s="209" t="s">
        <v>34</v>
      </c>
      <c r="G119" s="225" t="s">
        <v>35</v>
      </c>
      <c r="H119" s="244"/>
      <c r="I119" s="994" t="s">
        <v>345</v>
      </c>
      <c r="J119" s="995"/>
      <c r="K119" s="995"/>
      <c r="L119" s="995"/>
      <c r="M119" s="996"/>
    </row>
    <row r="120" spans="1:13" s="385" customFormat="1" ht="13.8" x14ac:dyDescent="0.25">
      <c r="A120" s="225"/>
      <c r="B120" s="737" t="s">
        <v>256</v>
      </c>
      <c r="C120" s="738"/>
      <c r="D120" s="391" t="s">
        <v>257</v>
      </c>
      <c r="E120" s="392">
        <f>M120</f>
        <v>15000</v>
      </c>
      <c r="F120" s="392">
        <v>3.5</v>
      </c>
      <c r="G120" s="392">
        <f>E120*F120</f>
        <v>52500</v>
      </c>
      <c r="H120" s="244"/>
      <c r="I120" s="484" t="s">
        <v>341</v>
      </c>
      <c r="J120" s="385" t="s">
        <v>342</v>
      </c>
      <c r="L120" s="482">
        <v>120000</v>
      </c>
      <c r="M120" s="482">
        <f>L120/8</f>
        <v>15000</v>
      </c>
    </row>
    <row r="121" spans="1:13" s="385" customFormat="1" ht="13.8" x14ac:dyDescent="0.25">
      <c r="A121" s="199"/>
      <c r="B121" s="737" t="s">
        <v>258</v>
      </c>
      <c r="C121" s="738"/>
      <c r="D121" s="393" t="s">
        <v>257</v>
      </c>
      <c r="E121" s="394">
        <f>M121</f>
        <v>12500</v>
      </c>
      <c r="F121" s="394">
        <v>3.5</v>
      </c>
      <c r="G121" s="394">
        <f>E121*F121</f>
        <v>43750</v>
      </c>
      <c r="H121" s="245"/>
      <c r="I121" s="484" t="s">
        <v>343</v>
      </c>
      <c r="J121" s="385" t="s">
        <v>344</v>
      </c>
      <c r="L121" s="482">
        <v>100000</v>
      </c>
      <c r="M121" s="482">
        <f>L121/8</f>
        <v>12500</v>
      </c>
    </row>
    <row r="122" spans="1:13" s="385" customFormat="1" ht="13.8" x14ac:dyDescent="0.25">
      <c r="A122" s="248"/>
      <c r="B122" s="202"/>
      <c r="C122" s="202"/>
      <c r="D122" s="202"/>
      <c r="E122" s="208" t="s">
        <v>36</v>
      </c>
      <c r="F122" s="208"/>
      <c r="G122" s="208"/>
      <c r="H122" s="395">
        <f>ROUND(SUM(G120:G121),0)</f>
        <v>96250</v>
      </c>
    </row>
    <row r="123" spans="1:13" s="385" customFormat="1" thickBot="1" x14ac:dyDescent="0.3">
      <c r="A123" s="206" t="s">
        <v>37</v>
      </c>
      <c r="B123" s="764" t="s">
        <v>38</v>
      </c>
      <c r="C123" s="765"/>
      <c r="D123" s="765"/>
      <c r="E123" s="765"/>
      <c r="F123" s="765"/>
      <c r="G123" s="766"/>
      <c r="H123" s="228"/>
    </row>
    <row r="124" spans="1:13" s="385" customFormat="1" thickBot="1" x14ac:dyDescent="0.3">
      <c r="A124" s="225"/>
      <c r="B124" s="735" t="s">
        <v>31</v>
      </c>
      <c r="C124" s="736"/>
      <c r="D124" s="199" t="s">
        <v>12</v>
      </c>
      <c r="E124" s="209" t="s">
        <v>39</v>
      </c>
      <c r="F124" s="209" t="s">
        <v>40</v>
      </c>
      <c r="G124" s="209" t="s">
        <v>35</v>
      </c>
      <c r="H124" s="228"/>
      <c r="I124" s="994" t="s">
        <v>337</v>
      </c>
      <c r="J124" s="995"/>
      <c r="K124" s="995"/>
      <c r="L124" s="995"/>
      <c r="M124" s="996"/>
    </row>
    <row r="125" spans="1:13" s="385" customFormat="1" ht="13.8" x14ac:dyDescent="0.25">
      <c r="A125" s="199"/>
      <c r="B125" s="976" t="s">
        <v>259</v>
      </c>
      <c r="C125" s="977"/>
      <c r="D125" s="396" t="s">
        <v>242</v>
      </c>
      <c r="E125" s="397">
        <v>300</v>
      </c>
      <c r="F125" s="398">
        <f>M125</f>
        <v>800</v>
      </c>
      <c r="G125" s="397">
        <f>+F125*E125</f>
        <v>240000</v>
      </c>
      <c r="H125" s="228"/>
      <c r="I125" s="484" t="s">
        <v>335</v>
      </c>
      <c r="J125" s="385" t="s">
        <v>339</v>
      </c>
      <c r="L125" s="482">
        <v>40000</v>
      </c>
      <c r="M125" s="482">
        <f>L125/50</f>
        <v>800</v>
      </c>
    </row>
    <row r="126" spans="1:13" s="385" customFormat="1" ht="13.8" x14ac:dyDescent="0.25">
      <c r="A126" s="199"/>
      <c r="B126" s="976" t="s">
        <v>260</v>
      </c>
      <c r="C126" s="977"/>
      <c r="D126" s="396" t="s">
        <v>261</v>
      </c>
      <c r="E126" s="397">
        <v>210</v>
      </c>
      <c r="F126" s="398">
        <v>180</v>
      </c>
      <c r="G126" s="397">
        <f>+F126*E126</f>
        <v>37800</v>
      </c>
      <c r="H126" s="228"/>
      <c r="I126" s="484" t="s">
        <v>334</v>
      </c>
      <c r="J126" s="385" t="s">
        <v>338</v>
      </c>
      <c r="L126" s="482">
        <v>800000</v>
      </c>
      <c r="M126" s="483">
        <f>L126/5</f>
        <v>160000</v>
      </c>
    </row>
    <row r="127" spans="1:13" s="385" customFormat="1" ht="13.8" x14ac:dyDescent="0.25">
      <c r="A127" s="199"/>
      <c r="B127" s="976" t="s">
        <v>262</v>
      </c>
      <c r="C127" s="977"/>
      <c r="D127" s="396" t="s">
        <v>232</v>
      </c>
      <c r="E127" s="399">
        <v>0.48</v>
      </c>
      <c r="F127" s="398">
        <f>M126</f>
        <v>160000</v>
      </c>
      <c r="G127" s="397">
        <f>+F127*E127</f>
        <v>76800</v>
      </c>
      <c r="H127" s="228"/>
      <c r="I127" s="484" t="s">
        <v>263</v>
      </c>
      <c r="J127" s="385" t="s">
        <v>338</v>
      </c>
      <c r="L127" s="482">
        <v>1625000</v>
      </c>
      <c r="M127" s="482">
        <f>L127/5</f>
        <v>325000</v>
      </c>
    </row>
    <row r="128" spans="1:13" s="385" customFormat="1" ht="13.8" x14ac:dyDescent="0.25">
      <c r="A128" s="199"/>
      <c r="B128" s="976" t="s">
        <v>263</v>
      </c>
      <c r="C128" s="977"/>
      <c r="D128" s="396" t="s">
        <v>232</v>
      </c>
      <c r="E128" s="399">
        <v>0.96</v>
      </c>
      <c r="F128" s="398">
        <f>M127</f>
        <v>325000</v>
      </c>
      <c r="G128" s="397">
        <f>+F128*E128</f>
        <v>312000</v>
      </c>
      <c r="H128" s="228"/>
    </row>
    <row r="129" spans="1:8" s="385" customFormat="1" ht="13.8" x14ac:dyDescent="0.25">
      <c r="A129" s="248" t="s">
        <v>41</v>
      </c>
      <c r="B129" s="202"/>
      <c r="C129" s="202"/>
      <c r="D129" s="202"/>
      <c r="E129" s="208" t="s">
        <v>42</v>
      </c>
      <c r="F129" s="208"/>
      <c r="G129" s="208"/>
      <c r="H129" s="400">
        <f>(SUM(G125:G128))</f>
        <v>666600</v>
      </c>
    </row>
    <row r="130" spans="1:8" s="385" customFormat="1" ht="13.8" x14ac:dyDescent="0.25">
      <c r="A130" s="206" t="s">
        <v>43</v>
      </c>
      <c r="B130" s="764" t="s">
        <v>44</v>
      </c>
      <c r="C130" s="765"/>
      <c r="D130" s="765"/>
      <c r="E130" s="765"/>
      <c r="F130" s="765"/>
      <c r="G130" s="766"/>
      <c r="H130" s="228"/>
    </row>
    <row r="131" spans="1:8" s="385" customFormat="1" ht="13.8" x14ac:dyDescent="0.25">
      <c r="A131" s="199"/>
      <c r="B131" s="225" t="s">
        <v>31</v>
      </c>
      <c r="C131" s="225" t="s">
        <v>264</v>
      </c>
      <c r="D131" s="225" t="s">
        <v>47</v>
      </c>
      <c r="E131" s="209" t="s">
        <v>39</v>
      </c>
      <c r="F131" s="207" t="s">
        <v>49</v>
      </c>
      <c r="G131" s="207" t="s">
        <v>35</v>
      </c>
      <c r="H131" s="228"/>
    </row>
    <row r="132" spans="1:8" s="385" customFormat="1" ht="13.8" x14ac:dyDescent="0.25">
      <c r="A132" s="199"/>
      <c r="B132" s="199"/>
      <c r="C132" s="401"/>
      <c r="D132" s="221"/>
      <c r="E132" s="210"/>
      <c r="F132" s="402"/>
      <c r="G132" s="403"/>
      <c r="H132" s="228"/>
    </row>
    <row r="133" spans="1:8" s="385" customFormat="1" ht="13.8" x14ac:dyDescent="0.25">
      <c r="A133" s="248"/>
      <c r="B133" s="202"/>
      <c r="C133" s="202"/>
      <c r="D133" s="202"/>
      <c r="E133" s="208" t="s">
        <v>50</v>
      </c>
      <c r="F133" s="208"/>
      <c r="G133" s="208"/>
      <c r="H133" s="400">
        <f>SUM(G132)</f>
        <v>0</v>
      </c>
    </row>
    <row r="134" spans="1:8" s="385" customFormat="1" ht="13.8" x14ac:dyDescent="0.25">
      <c r="A134" s="206" t="s">
        <v>51</v>
      </c>
      <c r="B134" s="764" t="s">
        <v>18</v>
      </c>
      <c r="C134" s="765"/>
      <c r="D134" s="765"/>
      <c r="E134" s="765"/>
      <c r="F134" s="765"/>
      <c r="G134" s="766"/>
      <c r="H134" s="228"/>
    </row>
    <row r="135" spans="1:8" s="385" customFormat="1" ht="13.8" x14ac:dyDescent="0.25">
      <c r="A135" s="199"/>
      <c r="B135" s="199" t="s">
        <v>31</v>
      </c>
      <c r="C135" s="225" t="s">
        <v>12</v>
      </c>
      <c r="D135" s="225" t="s">
        <v>13</v>
      </c>
      <c r="E135" s="225" t="s">
        <v>52</v>
      </c>
      <c r="F135" s="209"/>
      <c r="G135" s="207" t="s">
        <v>53</v>
      </c>
      <c r="H135" s="228"/>
    </row>
    <row r="136" spans="1:8" s="385" customFormat="1" ht="13.8" x14ac:dyDescent="0.25">
      <c r="A136" s="199"/>
      <c r="B136" s="199"/>
      <c r="C136" s="214"/>
      <c r="D136" s="199"/>
      <c r="E136" s="207"/>
      <c r="F136" s="207"/>
      <c r="G136" s="207"/>
      <c r="H136" s="228"/>
    </row>
    <row r="137" spans="1:8" s="385" customFormat="1" ht="13.8" x14ac:dyDescent="0.25">
      <c r="A137" s="248"/>
      <c r="B137" s="202"/>
      <c r="C137" s="202"/>
      <c r="D137" s="202"/>
      <c r="E137" s="208" t="s">
        <v>50</v>
      </c>
      <c r="F137" s="208"/>
      <c r="G137" s="208"/>
      <c r="H137" s="228">
        <f>SUM(G136)</f>
        <v>0</v>
      </c>
    </row>
    <row r="138" spans="1:8" s="385" customFormat="1" ht="13.8" x14ac:dyDescent="0.25">
      <c r="A138" s="247"/>
      <c r="B138" s="202"/>
      <c r="C138" s="202"/>
      <c r="D138" s="202"/>
      <c r="E138" s="208"/>
      <c r="F138" s="208"/>
      <c r="G138" s="208"/>
      <c r="H138" s="228"/>
    </row>
    <row r="139" spans="1:8" s="385" customFormat="1" ht="13.8" x14ac:dyDescent="0.25">
      <c r="A139" s="247"/>
      <c r="B139" s="202"/>
      <c r="C139" s="202"/>
      <c r="D139" s="215" t="s">
        <v>54</v>
      </c>
      <c r="E139" s="216"/>
      <c r="F139" s="216"/>
      <c r="G139" s="216"/>
      <c r="H139" s="404">
        <f>ROUND(SUM(H122:H138),0)</f>
        <v>762850</v>
      </c>
    </row>
    <row r="140" spans="1:8" s="385" customFormat="1" ht="13.8" x14ac:dyDescent="0.25">
      <c r="A140" s="206" t="s">
        <v>55</v>
      </c>
      <c r="B140" s="764" t="s">
        <v>56</v>
      </c>
      <c r="C140" s="765"/>
      <c r="D140" s="765"/>
      <c r="E140" s="765"/>
      <c r="F140" s="765"/>
      <c r="G140" s="766"/>
      <c r="H140" s="228"/>
    </row>
    <row r="141" spans="1:8" s="385" customFormat="1" ht="13.8" x14ac:dyDescent="0.25">
      <c r="A141" s="225"/>
      <c r="B141" s="225" t="s">
        <v>31</v>
      </c>
      <c r="C141" s="225" t="s">
        <v>57</v>
      </c>
      <c r="D141" s="199" t="s">
        <v>58</v>
      </c>
      <c r="E141" s="207"/>
      <c r="F141" s="207" t="s">
        <v>59</v>
      </c>
      <c r="G141" s="207"/>
      <c r="H141" s="228"/>
    </row>
    <row r="142" spans="1:8" s="385" customFormat="1" ht="13.8" x14ac:dyDescent="0.25">
      <c r="A142" s="199"/>
      <c r="B142" s="225" t="s">
        <v>60</v>
      </c>
      <c r="C142" s="212">
        <v>0.1</v>
      </c>
      <c r="D142" s="199"/>
      <c r="E142" s="210"/>
      <c r="F142" s="405"/>
      <c r="G142" s="406">
        <f>+H139*C142</f>
        <v>76285</v>
      </c>
      <c r="H142" s="228"/>
    </row>
    <row r="143" spans="1:8" s="385" customFormat="1" ht="13.8" x14ac:dyDescent="0.25">
      <c r="A143" s="199"/>
      <c r="B143" s="225" t="s">
        <v>61</v>
      </c>
      <c r="C143" s="212">
        <v>0.02</v>
      </c>
      <c r="D143" s="199"/>
      <c r="E143" s="210"/>
      <c r="F143" s="405"/>
      <c r="G143" s="406">
        <f>+H139*C143</f>
        <v>15257</v>
      </c>
      <c r="H143" s="228"/>
    </row>
    <row r="144" spans="1:8" s="385" customFormat="1" ht="13.8" x14ac:dyDescent="0.25">
      <c r="A144" s="247"/>
      <c r="B144" s="202"/>
      <c r="C144" s="202"/>
      <c r="D144" s="215" t="s">
        <v>63</v>
      </c>
      <c r="E144" s="216"/>
      <c r="F144" s="216"/>
      <c r="G144" s="216"/>
      <c r="H144" s="404">
        <f>SUM(G142:G143)</f>
        <v>91542</v>
      </c>
    </row>
    <row r="145" spans="1:8" s="385" customFormat="1" ht="13.8" x14ac:dyDescent="0.25">
      <c r="A145" s="247"/>
      <c r="B145" s="202"/>
      <c r="C145" s="202"/>
      <c r="D145" s="202"/>
      <c r="E145" s="208"/>
      <c r="F145" s="208"/>
      <c r="G145" s="208"/>
      <c r="H145" s="404"/>
    </row>
    <row r="146" spans="1:8" s="385" customFormat="1" ht="13.8" x14ac:dyDescent="0.25">
      <c r="A146" s="247"/>
      <c r="B146" s="202"/>
      <c r="C146" s="202"/>
      <c r="D146" s="215" t="s">
        <v>64</v>
      </c>
      <c r="E146" s="216"/>
      <c r="F146" s="216"/>
      <c r="G146" s="208"/>
      <c r="H146" s="404">
        <f>ROUND((H139+H144),0)</f>
        <v>854392</v>
      </c>
    </row>
    <row r="147" spans="1:8" s="385" customFormat="1" ht="13.8" x14ac:dyDescent="0.25">
      <c r="A147" s="247"/>
      <c r="B147" s="202"/>
      <c r="C147" s="202"/>
      <c r="D147" s="215"/>
      <c r="E147" s="216"/>
      <c r="F147" s="216"/>
      <c r="G147" s="208"/>
      <c r="H147" s="404"/>
    </row>
    <row r="148" spans="1:8" s="385" customFormat="1" ht="13.8" x14ac:dyDescent="0.25">
      <c r="A148" s="247"/>
      <c r="B148" s="202"/>
      <c r="C148" s="202"/>
      <c r="D148" s="215"/>
      <c r="E148" s="216"/>
      <c r="F148" s="216"/>
      <c r="G148" s="208"/>
      <c r="H148" s="415"/>
    </row>
    <row r="149" spans="1:8" s="385" customFormat="1" ht="13.8" x14ac:dyDescent="0.25">
      <c r="A149" s="247"/>
      <c r="B149" s="202"/>
      <c r="C149" s="202"/>
      <c r="D149" s="215"/>
      <c r="E149" s="216"/>
      <c r="F149" s="216"/>
      <c r="G149" s="208"/>
      <c r="H149" s="415"/>
    </row>
    <row r="150" spans="1:8" s="385" customFormat="1" ht="13.8" x14ac:dyDescent="0.25">
      <c r="A150" s="247"/>
      <c r="B150" s="202"/>
      <c r="C150" s="202"/>
      <c r="D150" s="215"/>
      <c r="E150" s="216"/>
      <c r="F150" s="216"/>
      <c r="G150" s="208"/>
      <c r="H150" s="222"/>
    </row>
    <row r="151" spans="1:8" s="385" customFormat="1" ht="13.8" x14ac:dyDescent="0.25">
      <c r="A151" s="407" t="str">
        <f>Presupuesto!D65</f>
        <v>ARQ. GUILLERMO YAMID VALLEJOS BENAVIDES</v>
      </c>
      <c r="B151" s="416"/>
      <c r="C151" s="202"/>
      <c r="D151" s="215"/>
      <c r="F151" s="208"/>
      <c r="G151" s="208"/>
      <c r="H151" s="222"/>
    </row>
    <row r="152" spans="1:8" s="385" customFormat="1" ht="13.8" x14ac:dyDescent="0.25">
      <c r="A152" s="407" t="str">
        <f>Presupuesto!D66</f>
        <v>SECRETARIO DE PLANEACION Y OBRAS PUBLICAS</v>
      </c>
      <c r="B152" s="217"/>
      <c r="C152" s="202"/>
      <c r="D152" s="202"/>
      <c r="F152" s="208"/>
      <c r="G152" s="208"/>
      <c r="H152" s="228"/>
    </row>
    <row r="153" spans="1:8" s="385" customFormat="1" ht="13.8" x14ac:dyDescent="0.25">
      <c r="A153" s="407" t="str">
        <f>Presupuesto!D67</f>
        <v>SAN MIGUEL - PUTUMAYO</v>
      </c>
      <c r="B153" s="251"/>
      <c r="C153" s="204"/>
      <c r="D153" s="204"/>
      <c r="F153" s="203"/>
      <c r="G153" s="203"/>
      <c r="H153" s="246"/>
    </row>
  </sheetData>
  <mergeCells count="88">
    <mergeCell ref="B128:C128"/>
    <mergeCell ref="B130:G130"/>
    <mergeCell ref="B134:G134"/>
    <mergeCell ref="B140:G140"/>
    <mergeCell ref="B125:C125"/>
    <mergeCell ref="B126:C126"/>
    <mergeCell ref="B127:C127"/>
    <mergeCell ref="B121:C121"/>
    <mergeCell ref="B123:G123"/>
    <mergeCell ref="B124:C124"/>
    <mergeCell ref="A110:H112"/>
    <mergeCell ref="A114:H114"/>
    <mergeCell ref="B116:F116"/>
    <mergeCell ref="B118:G118"/>
    <mergeCell ref="B119:C119"/>
    <mergeCell ref="B120:C120"/>
    <mergeCell ref="I22:M22"/>
    <mergeCell ref="I72:M72"/>
    <mergeCell ref="I124:M124"/>
    <mergeCell ref="I18:M18"/>
    <mergeCell ref="I68:M68"/>
    <mergeCell ref="I119:M119"/>
    <mergeCell ref="A12:H12"/>
    <mergeCell ref="H103:H108"/>
    <mergeCell ref="A103:A108"/>
    <mergeCell ref="B103:D104"/>
    <mergeCell ref="E103:F103"/>
    <mergeCell ref="B70:C70"/>
    <mergeCell ref="B72:G72"/>
    <mergeCell ref="B73:C73"/>
    <mergeCell ref="B74:C74"/>
    <mergeCell ref="B75:C75"/>
    <mergeCell ref="B76:C76"/>
    <mergeCell ref="B107:D108"/>
    <mergeCell ref="E107:F108"/>
    <mergeCell ref="B77:C77"/>
    <mergeCell ref="B79:G79"/>
    <mergeCell ref="B83:G83"/>
    <mergeCell ref="B89:G89"/>
    <mergeCell ref="E104:F105"/>
    <mergeCell ref="G104:G105"/>
    <mergeCell ref="B105:D105"/>
    <mergeCell ref="B106:D106"/>
    <mergeCell ref="E106:F106"/>
    <mergeCell ref="B69:C69"/>
    <mergeCell ref="H53:H58"/>
    <mergeCell ref="E54:F55"/>
    <mergeCell ref="G54:G55"/>
    <mergeCell ref="B55:D55"/>
    <mergeCell ref="B56:D56"/>
    <mergeCell ref="E56:F56"/>
    <mergeCell ref="B57:D58"/>
    <mergeCell ref="E57:F58"/>
    <mergeCell ref="A59:H61"/>
    <mergeCell ref="A63:H63"/>
    <mergeCell ref="B65:F65"/>
    <mergeCell ref="B67:G67"/>
    <mergeCell ref="B68:C68"/>
    <mergeCell ref="A53:A58"/>
    <mergeCell ref="B53:D54"/>
    <mergeCell ref="E53:F53"/>
    <mergeCell ref="B19:C19"/>
    <mergeCell ref="B20:C20"/>
    <mergeCell ref="B22:G22"/>
    <mergeCell ref="B23:C23"/>
    <mergeCell ref="B24:C24"/>
    <mergeCell ref="B25:C25"/>
    <mergeCell ref="B26:C26"/>
    <mergeCell ref="B27:C27"/>
    <mergeCell ref="B29:G29"/>
    <mergeCell ref="B33:G33"/>
    <mergeCell ref="B39:G39"/>
    <mergeCell ref="B18:C18"/>
    <mergeCell ref="A1:A6"/>
    <mergeCell ref="B1:D2"/>
    <mergeCell ref="E1:F1"/>
    <mergeCell ref="H1:H6"/>
    <mergeCell ref="E2:F3"/>
    <mergeCell ref="G2:G3"/>
    <mergeCell ref="B3:D3"/>
    <mergeCell ref="B4:D4"/>
    <mergeCell ref="E4:F4"/>
    <mergeCell ref="B5:D6"/>
    <mergeCell ref="E5:F6"/>
    <mergeCell ref="A7:H10"/>
    <mergeCell ref="A13:H13"/>
    <mergeCell ref="B15:F15"/>
    <mergeCell ref="B17:G17"/>
  </mergeCells>
  <phoneticPr fontId="29" type="noConversion"/>
  <pageMargins left="0.7" right="0.7" top="0.75" bottom="0.75" header="0.3" footer="0.3"/>
  <pageSetup scale="74" orientation="portrait" horizontalDpi="360" verticalDpi="360" r:id="rId1"/>
  <rowBreaks count="2" manualBreakCount="2">
    <brk id="52" max="16383" man="1"/>
    <brk id="102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M153"/>
  <sheetViews>
    <sheetView view="pageBreakPreview" topLeftCell="A15" zoomScaleNormal="80" zoomScaleSheetLayoutView="100" workbookViewId="0">
      <selection activeCell="F24" sqref="F24"/>
    </sheetView>
  </sheetViews>
  <sheetFormatPr baseColWidth="10" defaultRowHeight="14.4" x14ac:dyDescent="0.3"/>
  <cols>
    <col min="1" max="1" width="18.33203125" style="385" customWidth="1"/>
    <col min="2" max="2" width="20.88671875" style="385" customWidth="1"/>
    <col min="3" max="3" width="18" style="385" customWidth="1"/>
    <col min="4" max="4" width="10" style="385" customWidth="1"/>
    <col min="5" max="5" width="11.5546875" style="385"/>
    <col min="6" max="6" width="13.44140625" style="385" customWidth="1"/>
    <col min="7" max="7" width="11.5546875" style="385"/>
    <col min="8" max="8" width="18.109375" style="385" customWidth="1"/>
    <col min="12" max="12" width="14.109375" customWidth="1"/>
    <col min="13" max="13" width="13.33203125" customWidth="1"/>
  </cols>
  <sheetData>
    <row r="1" spans="1:8" x14ac:dyDescent="0.3">
      <c r="A1" s="937"/>
      <c r="B1" s="939" t="s">
        <v>193</v>
      </c>
      <c r="C1" s="940"/>
      <c r="D1" s="941"/>
      <c r="E1" s="945" t="s">
        <v>194</v>
      </c>
      <c r="F1" s="945"/>
      <c r="G1" s="383">
        <v>103</v>
      </c>
      <c r="H1" s="945"/>
    </row>
    <row r="2" spans="1:8" x14ac:dyDescent="0.3">
      <c r="A2" s="938"/>
      <c r="B2" s="942"/>
      <c r="C2" s="943"/>
      <c r="D2" s="944"/>
      <c r="E2" s="947" t="s">
        <v>195</v>
      </c>
      <c r="F2" s="947"/>
      <c r="G2" s="945">
        <v>51</v>
      </c>
      <c r="H2" s="945"/>
    </row>
    <row r="3" spans="1:8" x14ac:dyDescent="0.3">
      <c r="A3" s="938"/>
      <c r="B3" s="948" t="s">
        <v>196</v>
      </c>
      <c r="C3" s="949"/>
      <c r="D3" s="950"/>
      <c r="E3" s="947"/>
      <c r="F3" s="947"/>
      <c r="G3" s="945"/>
      <c r="H3" s="945"/>
    </row>
    <row r="4" spans="1:8" x14ac:dyDescent="0.3">
      <c r="A4" s="938"/>
      <c r="B4" s="951" t="s">
        <v>197</v>
      </c>
      <c r="C4" s="952"/>
      <c r="D4" s="953"/>
      <c r="E4" s="945" t="s">
        <v>198</v>
      </c>
      <c r="F4" s="945"/>
      <c r="G4" s="383">
        <v>1</v>
      </c>
      <c r="H4" s="945"/>
    </row>
    <row r="5" spans="1:8" x14ac:dyDescent="0.3">
      <c r="A5" s="938"/>
      <c r="B5" s="954" t="s">
        <v>199</v>
      </c>
      <c r="C5" s="955"/>
      <c r="D5" s="956"/>
      <c r="E5" s="947" t="s">
        <v>200</v>
      </c>
      <c r="F5" s="947"/>
      <c r="G5" s="383" t="s">
        <v>201</v>
      </c>
      <c r="H5" s="945"/>
    </row>
    <row r="6" spans="1:8" ht="15" thickBot="1" x14ac:dyDescent="0.35">
      <c r="A6" s="938"/>
      <c r="B6" s="957"/>
      <c r="C6" s="958"/>
      <c r="D6" s="959"/>
      <c r="E6" s="960"/>
      <c r="F6" s="960"/>
      <c r="G6" s="485">
        <v>44216</v>
      </c>
      <c r="H6" s="946"/>
    </row>
    <row r="7" spans="1:8" s="385" customFormat="1" ht="14.4" customHeight="1" x14ac:dyDescent="0.25">
      <c r="A7" s="961" t="str">
        <f>Presupuesto!A8</f>
        <v>ADECUACION Y MEJORAMIENTO DE AULAS ESCOLARES UBICADA EN LA INSTITUCION EDUCATIVA TECNICO COMERCIAL LA DORADA SEDE ESCUELA CENTRAL DEL MUNICIPIO DE SAN MIGUEL PUTUMAYO</v>
      </c>
      <c r="B7" s="962"/>
      <c r="C7" s="962"/>
      <c r="D7" s="962"/>
      <c r="E7" s="962"/>
      <c r="F7" s="962"/>
      <c r="G7" s="962"/>
      <c r="H7" s="963"/>
    </row>
    <row r="8" spans="1:8" s="385" customFormat="1" ht="16.5" customHeight="1" x14ac:dyDescent="0.25">
      <c r="A8" s="964"/>
      <c r="B8" s="965"/>
      <c r="C8" s="965"/>
      <c r="D8" s="965"/>
      <c r="E8" s="965"/>
      <c r="F8" s="965"/>
      <c r="G8" s="965"/>
      <c r="H8" s="966"/>
    </row>
    <row r="9" spans="1:8" s="385" customFormat="1" ht="13.8" x14ac:dyDescent="0.25">
      <c r="A9" s="964"/>
      <c r="B9" s="965"/>
      <c r="C9" s="965"/>
      <c r="D9" s="965"/>
      <c r="E9" s="965"/>
      <c r="F9" s="965"/>
      <c r="G9" s="965"/>
      <c r="H9" s="966"/>
    </row>
    <row r="10" spans="1:8" s="385" customFormat="1" thickBot="1" x14ac:dyDescent="0.3">
      <c r="A10" s="967"/>
      <c r="B10" s="968"/>
      <c r="C10" s="968"/>
      <c r="D10" s="968"/>
      <c r="E10" s="968"/>
      <c r="F10" s="968"/>
      <c r="G10" s="968"/>
      <c r="H10" s="969"/>
    </row>
    <row r="11" spans="1:8" s="385" customFormat="1" thickBot="1" x14ac:dyDescent="0.3">
      <c r="A11" s="386"/>
      <c r="B11" s="387"/>
      <c r="C11" s="387"/>
      <c r="D11" s="387"/>
      <c r="E11" s="387"/>
      <c r="F11" s="387"/>
      <c r="G11" s="387"/>
      <c r="H11" s="388"/>
    </row>
    <row r="12" spans="1:8" s="385" customFormat="1" ht="18.600000000000001" thickBot="1" x14ac:dyDescent="0.4">
      <c r="A12" s="990" t="s">
        <v>336</v>
      </c>
      <c r="B12" s="991"/>
      <c r="C12" s="991"/>
      <c r="D12" s="991"/>
      <c r="E12" s="991"/>
      <c r="F12" s="991"/>
      <c r="G12" s="991"/>
      <c r="H12" s="992"/>
    </row>
    <row r="13" spans="1:8" s="385" customFormat="1" ht="13.8" x14ac:dyDescent="0.25">
      <c r="A13" s="707" t="s">
        <v>26</v>
      </c>
      <c r="B13" s="970"/>
      <c r="C13" s="970"/>
      <c r="D13" s="970"/>
      <c r="E13" s="970"/>
      <c r="F13" s="970"/>
      <c r="G13" s="970"/>
      <c r="H13" s="708"/>
    </row>
    <row r="14" spans="1:8" s="385" customFormat="1" ht="13.8" x14ac:dyDescent="0.25">
      <c r="A14" s="247"/>
      <c r="B14" s="202"/>
      <c r="C14" s="202"/>
      <c r="D14" s="202"/>
      <c r="E14" s="202"/>
      <c r="F14" s="208"/>
      <c r="G14" s="202"/>
      <c r="H14" s="244"/>
    </row>
    <row r="15" spans="1:8" s="385" customFormat="1" ht="13.8" x14ac:dyDescent="0.25">
      <c r="A15" s="486" t="s">
        <v>253</v>
      </c>
      <c r="B15" s="971" t="s">
        <v>254</v>
      </c>
      <c r="C15" s="972"/>
      <c r="D15" s="972"/>
      <c r="E15" s="972"/>
      <c r="F15" s="973"/>
      <c r="G15" s="487" t="s">
        <v>28</v>
      </c>
      <c r="H15" s="486" t="s">
        <v>232</v>
      </c>
    </row>
    <row r="16" spans="1:8" s="385" customFormat="1" ht="13.8" x14ac:dyDescent="0.25">
      <c r="A16" s="247"/>
      <c r="B16" s="202"/>
      <c r="C16" s="202"/>
      <c r="D16" s="202"/>
      <c r="E16" s="202"/>
      <c r="F16" s="208"/>
      <c r="G16" s="202"/>
      <c r="H16" s="244"/>
    </row>
    <row r="17" spans="1:13" s="385" customFormat="1" thickBot="1" x14ac:dyDescent="0.3">
      <c r="A17" s="389" t="s">
        <v>29</v>
      </c>
      <c r="B17" s="764" t="s">
        <v>255</v>
      </c>
      <c r="C17" s="765"/>
      <c r="D17" s="765"/>
      <c r="E17" s="765"/>
      <c r="F17" s="765"/>
      <c r="G17" s="766"/>
      <c r="H17" s="244"/>
    </row>
    <row r="18" spans="1:13" s="385" customFormat="1" thickBot="1" x14ac:dyDescent="0.3">
      <c r="A18" s="225"/>
      <c r="B18" s="735" t="s">
        <v>31</v>
      </c>
      <c r="C18" s="736"/>
      <c r="D18" s="225" t="s">
        <v>12</v>
      </c>
      <c r="E18" s="225" t="s">
        <v>33</v>
      </c>
      <c r="F18" s="209" t="s">
        <v>34</v>
      </c>
      <c r="G18" s="225" t="s">
        <v>35</v>
      </c>
      <c r="H18" s="244"/>
      <c r="I18" s="994" t="s">
        <v>345</v>
      </c>
      <c r="J18" s="995"/>
      <c r="K18" s="995"/>
      <c r="L18" s="995"/>
      <c r="M18" s="996"/>
    </row>
    <row r="19" spans="1:13" s="385" customFormat="1" ht="13.8" x14ac:dyDescent="0.25">
      <c r="A19" s="390"/>
      <c r="B19" s="974" t="s">
        <v>256</v>
      </c>
      <c r="C19" s="975"/>
      <c r="D19" s="391" t="s">
        <v>257</v>
      </c>
      <c r="E19" s="392">
        <f>M19</f>
        <v>15000</v>
      </c>
      <c r="F19" s="392">
        <v>3.5</v>
      </c>
      <c r="G19" s="392">
        <f>E19*F19</f>
        <v>52500</v>
      </c>
      <c r="H19" s="245"/>
      <c r="I19" s="484" t="s">
        <v>341</v>
      </c>
      <c r="J19" s="385" t="s">
        <v>342</v>
      </c>
      <c r="L19" s="482">
        <v>120000</v>
      </c>
      <c r="M19" s="482">
        <f>L19/8</f>
        <v>15000</v>
      </c>
    </row>
    <row r="20" spans="1:13" s="385" customFormat="1" ht="13.8" x14ac:dyDescent="0.25">
      <c r="A20" s="199"/>
      <c r="B20" s="974" t="s">
        <v>258</v>
      </c>
      <c r="C20" s="975"/>
      <c r="D20" s="393" t="s">
        <v>257</v>
      </c>
      <c r="E20" s="394">
        <f>M20</f>
        <v>12500</v>
      </c>
      <c r="F20" s="394">
        <v>3.5</v>
      </c>
      <c r="G20" s="394">
        <f>E20*F20</f>
        <v>43750</v>
      </c>
      <c r="H20" s="245"/>
      <c r="I20" s="484" t="s">
        <v>343</v>
      </c>
      <c r="J20" s="385" t="s">
        <v>344</v>
      </c>
      <c r="L20" s="482">
        <v>100000</v>
      </c>
      <c r="M20" s="482">
        <f>L20/8</f>
        <v>12500</v>
      </c>
    </row>
    <row r="21" spans="1:13" s="385" customFormat="1" thickBot="1" x14ac:dyDescent="0.3">
      <c r="A21" s="247"/>
      <c r="B21" s="202"/>
      <c r="C21" s="202"/>
      <c r="D21" s="202"/>
      <c r="E21" s="208" t="s">
        <v>36</v>
      </c>
      <c r="F21" s="208"/>
      <c r="G21" s="208"/>
      <c r="H21" s="395">
        <f>ROUND(SUM(G19:G20),0)</f>
        <v>96250</v>
      </c>
    </row>
    <row r="22" spans="1:13" s="385" customFormat="1" thickBot="1" x14ac:dyDescent="0.3">
      <c r="A22" s="206" t="s">
        <v>37</v>
      </c>
      <c r="B22" s="764" t="s">
        <v>38</v>
      </c>
      <c r="C22" s="765"/>
      <c r="D22" s="765"/>
      <c r="E22" s="765"/>
      <c r="F22" s="765"/>
      <c r="G22" s="766"/>
      <c r="H22" s="222"/>
      <c r="I22" s="994" t="s">
        <v>337</v>
      </c>
      <c r="J22" s="995"/>
      <c r="K22" s="995"/>
      <c r="L22" s="995"/>
      <c r="M22" s="996"/>
    </row>
    <row r="23" spans="1:13" s="385" customFormat="1" ht="13.8" x14ac:dyDescent="0.25">
      <c r="A23" s="225"/>
      <c r="B23" s="735" t="s">
        <v>31</v>
      </c>
      <c r="C23" s="736"/>
      <c r="D23" s="199" t="s">
        <v>12</v>
      </c>
      <c r="E23" s="209" t="s">
        <v>39</v>
      </c>
      <c r="F23" s="209" t="s">
        <v>40</v>
      </c>
      <c r="G23" s="209" t="s">
        <v>35</v>
      </c>
      <c r="H23" s="228"/>
      <c r="I23" s="484" t="s">
        <v>335</v>
      </c>
      <c r="J23" s="385" t="s">
        <v>339</v>
      </c>
      <c r="L23" s="482">
        <v>38000</v>
      </c>
      <c r="M23" s="482">
        <f>L23/50</f>
        <v>760</v>
      </c>
    </row>
    <row r="24" spans="1:13" s="385" customFormat="1" ht="13.8" x14ac:dyDescent="0.25">
      <c r="A24" s="199"/>
      <c r="B24" s="976" t="s">
        <v>259</v>
      </c>
      <c r="C24" s="977"/>
      <c r="D24" s="396" t="s">
        <v>242</v>
      </c>
      <c r="E24" s="397">
        <v>350</v>
      </c>
      <c r="F24" s="398">
        <f>M23</f>
        <v>760</v>
      </c>
      <c r="G24" s="397">
        <f>+F24*E24</f>
        <v>266000</v>
      </c>
      <c r="H24" s="228"/>
      <c r="I24" s="484" t="s">
        <v>334</v>
      </c>
      <c r="J24" s="385" t="s">
        <v>340</v>
      </c>
      <c r="L24" s="482">
        <v>300000</v>
      </c>
      <c r="M24" s="483">
        <f>L24/6</f>
        <v>50000</v>
      </c>
    </row>
    <row r="25" spans="1:13" s="385" customFormat="1" ht="13.8" x14ac:dyDescent="0.25">
      <c r="A25" s="199"/>
      <c r="B25" s="976" t="s">
        <v>260</v>
      </c>
      <c r="C25" s="977"/>
      <c r="D25" s="396" t="s">
        <v>261</v>
      </c>
      <c r="E25" s="397">
        <v>210</v>
      </c>
      <c r="F25" s="398">
        <v>180</v>
      </c>
      <c r="G25" s="397">
        <f>+F25*E25</f>
        <v>37800</v>
      </c>
      <c r="H25" s="228"/>
      <c r="I25" s="484" t="s">
        <v>263</v>
      </c>
      <c r="J25" s="385" t="s">
        <v>340</v>
      </c>
      <c r="L25" s="482">
        <v>1500000</v>
      </c>
      <c r="M25" s="482">
        <f>L25/6</f>
        <v>250000</v>
      </c>
    </row>
    <row r="26" spans="1:13" s="385" customFormat="1" ht="13.8" x14ac:dyDescent="0.25">
      <c r="A26" s="199"/>
      <c r="B26" s="976" t="s">
        <v>262</v>
      </c>
      <c r="C26" s="977"/>
      <c r="D26" s="396" t="s">
        <v>232</v>
      </c>
      <c r="E26" s="399">
        <v>0.56000000000000005</v>
      </c>
      <c r="F26" s="398">
        <f>M24</f>
        <v>50000</v>
      </c>
      <c r="G26" s="397">
        <f>+F26*E26</f>
        <v>28000.000000000004</v>
      </c>
      <c r="H26" s="228"/>
    </row>
    <row r="27" spans="1:13" s="385" customFormat="1" ht="13.8" x14ac:dyDescent="0.25">
      <c r="A27" s="199"/>
      <c r="B27" s="976" t="s">
        <v>263</v>
      </c>
      <c r="C27" s="977"/>
      <c r="D27" s="396" t="s">
        <v>232</v>
      </c>
      <c r="E27" s="399">
        <v>0.84</v>
      </c>
      <c r="F27" s="398">
        <f>M25</f>
        <v>250000</v>
      </c>
      <c r="G27" s="397">
        <f>+F27*E27</f>
        <v>210000</v>
      </c>
      <c r="H27" s="228"/>
    </row>
    <row r="28" spans="1:13" s="385" customFormat="1" ht="13.8" x14ac:dyDescent="0.25">
      <c r="A28" s="248" t="s">
        <v>41</v>
      </c>
      <c r="B28" s="202"/>
      <c r="C28" s="202"/>
      <c r="D28" s="202"/>
      <c r="E28" s="208" t="s">
        <v>42</v>
      </c>
      <c r="F28" s="208"/>
      <c r="G28" s="208"/>
      <c r="H28" s="400">
        <f>(SUM(G24:G27))</f>
        <v>541800</v>
      </c>
    </row>
    <row r="29" spans="1:13" s="385" customFormat="1" ht="13.8" x14ac:dyDescent="0.25">
      <c r="A29" s="206" t="s">
        <v>43</v>
      </c>
      <c r="B29" s="764" t="s">
        <v>44</v>
      </c>
      <c r="C29" s="765"/>
      <c r="D29" s="765"/>
      <c r="E29" s="765"/>
      <c r="F29" s="765"/>
      <c r="G29" s="766"/>
      <c r="H29" s="228"/>
    </row>
    <row r="30" spans="1:13" s="385" customFormat="1" ht="13.8" x14ac:dyDescent="0.25">
      <c r="A30" s="199"/>
      <c r="B30" s="225" t="s">
        <v>31</v>
      </c>
      <c r="C30" s="225" t="s">
        <v>264</v>
      </c>
      <c r="D30" s="225" t="s">
        <v>47</v>
      </c>
      <c r="E30" s="209" t="s">
        <v>39</v>
      </c>
      <c r="F30" s="207" t="s">
        <v>49</v>
      </c>
      <c r="G30" s="207" t="s">
        <v>35</v>
      </c>
      <c r="H30" s="228"/>
    </row>
    <row r="31" spans="1:13" s="385" customFormat="1" ht="13.8" x14ac:dyDescent="0.25">
      <c r="A31" s="199"/>
      <c r="B31" s="199"/>
      <c r="C31" s="401"/>
      <c r="D31" s="221"/>
      <c r="E31" s="210"/>
      <c r="F31" s="402"/>
      <c r="G31" s="403"/>
      <c r="H31" s="228"/>
    </row>
    <row r="32" spans="1:13" s="385" customFormat="1" ht="13.8" x14ac:dyDescent="0.25">
      <c r="A32" s="248"/>
      <c r="B32" s="202"/>
      <c r="C32" s="202"/>
      <c r="D32" s="202"/>
      <c r="E32" s="208" t="s">
        <v>50</v>
      </c>
      <c r="F32" s="208"/>
      <c r="G32" s="208"/>
      <c r="H32" s="400">
        <f>SUM(G31)</f>
        <v>0</v>
      </c>
    </row>
    <row r="33" spans="1:8" s="385" customFormat="1" ht="13.8" x14ac:dyDescent="0.25">
      <c r="A33" s="206" t="s">
        <v>51</v>
      </c>
      <c r="B33" s="764" t="s">
        <v>18</v>
      </c>
      <c r="C33" s="765"/>
      <c r="D33" s="765"/>
      <c r="E33" s="765"/>
      <c r="F33" s="765"/>
      <c r="G33" s="766"/>
      <c r="H33" s="228"/>
    </row>
    <row r="34" spans="1:8" s="385" customFormat="1" ht="13.8" x14ac:dyDescent="0.25">
      <c r="A34" s="199"/>
      <c r="B34" s="199" t="s">
        <v>31</v>
      </c>
      <c r="C34" s="225" t="s">
        <v>12</v>
      </c>
      <c r="D34" s="225" t="s">
        <v>13</v>
      </c>
      <c r="E34" s="225" t="s">
        <v>52</v>
      </c>
      <c r="F34" s="209"/>
      <c r="G34" s="207" t="s">
        <v>53</v>
      </c>
      <c r="H34" s="228"/>
    </row>
    <row r="35" spans="1:8" s="385" customFormat="1" ht="13.8" x14ac:dyDescent="0.25">
      <c r="A35" s="199"/>
      <c r="B35" s="199"/>
      <c r="C35" s="214"/>
      <c r="D35" s="199"/>
      <c r="E35" s="207"/>
      <c r="F35" s="207"/>
      <c r="G35" s="207"/>
      <c r="H35" s="228"/>
    </row>
    <row r="36" spans="1:8" s="385" customFormat="1" ht="13.8" x14ac:dyDescent="0.25">
      <c r="A36" s="248"/>
      <c r="B36" s="202"/>
      <c r="C36" s="202"/>
      <c r="D36" s="202"/>
      <c r="E36" s="208" t="s">
        <v>50</v>
      </c>
      <c r="F36" s="208"/>
      <c r="G36" s="208"/>
      <c r="H36" s="228">
        <f>SUM(G35)</f>
        <v>0</v>
      </c>
    </row>
    <row r="37" spans="1:8" s="385" customFormat="1" ht="13.8" x14ac:dyDescent="0.25">
      <c r="A37" s="247"/>
      <c r="B37" s="202"/>
      <c r="C37" s="202"/>
      <c r="D37" s="202"/>
      <c r="E37" s="208"/>
      <c r="F37" s="208"/>
      <c r="G37" s="208"/>
      <c r="H37" s="228"/>
    </row>
    <row r="38" spans="1:8" s="385" customFormat="1" ht="13.8" x14ac:dyDescent="0.25">
      <c r="A38" s="247"/>
      <c r="B38" s="202"/>
      <c r="C38" s="202"/>
      <c r="D38" s="215" t="s">
        <v>54</v>
      </c>
      <c r="E38" s="216"/>
      <c r="F38" s="216"/>
      <c r="G38" s="216"/>
      <c r="H38" s="404">
        <f>ROUND(SUM(H21:H37),0)</f>
        <v>638050</v>
      </c>
    </row>
    <row r="39" spans="1:8" s="385" customFormat="1" ht="13.8" x14ac:dyDescent="0.25">
      <c r="A39" s="206" t="s">
        <v>55</v>
      </c>
      <c r="B39" s="764" t="s">
        <v>56</v>
      </c>
      <c r="C39" s="765"/>
      <c r="D39" s="765"/>
      <c r="E39" s="765"/>
      <c r="F39" s="765"/>
      <c r="G39" s="766"/>
      <c r="H39" s="228"/>
    </row>
    <row r="40" spans="1:8" s="385" customFormat="1" ht="13.8" x14ac:dyDescent="0.25">
      <c r="A40" s="225"/>
      <c r="B40" s="225" t="s">
        <v>31</v>
      </c>
      <c r="C40" s="225" t="s">
        <v>57</v>
      </c>
      <c r="D40" s="199" t="s">
        <v>58</v>
      </c>
      <c r="E40" s="207"/>
      <c r="F40" s="207" t="s">
        <v>59</v>
      </c>
      <c r="G40" s="207"/>
      <c r="H40" s="228"/>
    </row>
    <row r="41" spans="1:8" s="385" customFormat="1" ht="13.8" x14ac:dyDescent="0.25">
      <c r="A41" s="199"/>
      <c r="B41" s="225" t="s">
        <v>60</v>
      </c>
      <c r="C41" s="212">
        <v>0.1</v>
      </c>
      <c r="D41" s="199"/>
      <c r="E41" s="210"/>
      <c r="F41" s="405"/>
      <c r="G41" s="406">
        <f>+H38*C41</f>
        <v>63805</v>
      </c>
      <c r="H41" s="228"/>
    </row>
    <row r="42" spans="1:8" s="385" customFormat="1" ht="13.8" x14ac:dyDescent="0.25">
      <c r="A42" s="199"/>
      <c r="B42" s="225" t="s">
        <v>61</v>
      </c>
      <c r="C42" s="212">
        <v>0.02</v>
      </c>
      <c r="D42" s="199"/>
      <c r="E42" s="210"/>
      <c r="F42" s="405"/>
      <c r="G42" s="406">
        <f>+H38*C42</f>
        <v>12761</v>
      </c>
      <c r="H42" s="228"/>
    </row>
    <row r="43" spans="1:8" s="385" customFormat="1" ht="13.8" x14ac:dyDescent="0.25">
      <c r="A43" s="247"/>
      <c r="B43" s="202"/>
      <c r="C43" s="202"/>
      <c r="D43" s="215" t="s">
        <v>63</v>
      </c>
      <c r="E43" s="216"/>
      <c r="F43" s="216"/>
      <c r="G43" s="216"/>
      <c r="H43" s="404">
        <f>SUM(G41:G42)</f>
        <v>76566</v>
      </c>
    </row>
    <row r="44" spans="1:8" s="385" customFormat="1" ht="13.8" x14ac:dyDescent="0.25">
      <c r="A44" s="247"/>
      <c r="B44" s="202"/>
      <c r="C44" s="202"/>
      <c r="D44" s="202"/>
      <c r="E44" s="208"/>
      <c r="F44" s="208"/>
      <c r="G44" s="208"/>
      <c r="H44" s="404"/>
    </row>
    <row r="45" spans="1:8" s="385" customFormat="1" ht="13.8" x14ac:dyDescent="0.25">
      <c r="A45" s="247"/>
      <c r="B45" s="202"/>
      <c r="C45" s="202"/>
      <c r="D45" s="215" t="s">
        <v>64</v>
      </c>
      <c r="E45" s="216"/>
      <c r="F45" s="216"/>
      <c r="G45" s="208"/>
      <c r="H45" s="404">
        <f>ROUND((H38+H43),0)</f>
        <v>714616</v>
      </c>
    </row>
    <row r="46" spans="1:8" s="385" customFormat="1" ht="13.8" x14ac:dyDescent="0.25">
      <c r="A46" s="247"/>
      <c r="B46" s="202"/>
      <c r="C46" s="202"/>
      <c r="D46" s="215"/>
      <c r="E46" s="216"/>
      <c r="F46" s="216"/>
      <c r="G46" s="208"/>
      <c r="H46" s="404"/>
    </row>
    <row r="47" spans="1:8" s="385" customFormat="1" ht="13.8" x14ac:dyDescent="0.25">
      <c r="A47" s="247"/>
      <c r="B47" s="202"/>
      <c r="C47" s="202"/>
      <c r="D47" s="215"/>
      <c r="E47" s="216"/>
      <c r="F47" s="216"/>
      <c r="G47" s="208"/>
      <c r="H47" s="404"/>
    </row>
    <row r="48" spans="1:8" s="385" customFormat="1" ht="13.8" x14ac:dyDescent="0.25">
      <c r="A48" s="247"/>
      <c r="B48" s="202"/>
      <c r="C48" s="202"/>
      <c r="D48" s="215"/>
      <c r="E48" s="216"/>
      <c r="F48" s="216"/>
      <c r="G48" s="208"/>
      <c r="H48" s="404"/>
    </row>
    <row r="49" spans="1:8" s="385" customFormat="1" ht="13.8" x14ac:dyDescent="0.25">
      <c r="A49" s="247"/>
      <c r="B49" s="204"/>
      <c r="C49" s="202"/>
      <c r="D49" s="215"/>
      <c r="E49" s="216"/>
      <c r="F49" s="216"/>
      <c r="G49" s="208"/>
      <c r="H49" s="228"/>
    </row>
    <row r="50" spans="1:8" s="385" customFormat="1" ht="13.8" x14ac:dyDescent="0.25">
      <c r="A50" s="407" t="str">
        <f>Presupuesto!D65</f>
        <v>ARQ. GUILLERMO YAMID VALLEJOS BENAVIDES</v>
      </c>
      <c r="B50" s="217"/>
      <c r="C50" s="202"/>
      <c r="D50" s="215"/>
      <c r="F50" s="208"/>
      <c r="G50" s="208"/>
      <c r="H50" s="228"/>
    </row>
    <row r="51" spans="1:8" s="385" customFormat="1" ht="13.8" x14ac:dyDescent="0.25">
      <c r="A51" s="407" t="str">
        <f>Presupuesto!D66</f>
        <v>SECRETARIO DE PLANEACION Y OBRAS PUBLICAS</v>
      </c>
      <c r="B51" s="217"/>
      <c r="C51" s="202"/>
      <c r="D51" s="202"/>
      <c r="F51" s="208"/>
      <c r="G51" s="208"/>
      <c r="H51" s="228"/>
    </row>
    <row r="52" spans="1:8" s="385" customFormat="1" ht="13.8" x14ac:dyDescent="0.25">
      <c r="A52" s="407" t="str">
        <f>Presupuesto!D67</f>
        <v>SAN MIGUEL - PUTUMAYO</v>
      </c>
      <c r="B52" s="251"/>
      <c r="C52" s="204"/>
      <c r="D52" s="204"/>
      <c r="F52" s="203"/>
      <c r="G52" s="203"/>
      <c r="H52" s="246"/>
    </row>
    <row r="53" spans="1:8" x14ac:dyDescent="0.3">
      <c r="A53" s="937"/>
      <c r="B53" s="939" t="s">
        <v>193</v>
      </c>
      <c r="C53" s="940"/>
      <c r="D53" s="941"/>
      <c r="E53" s="945" t="s">
        <v>194</v>
      </c>
      <c r="F53" s="945"/>
      <c r="G53" s="383">
        <v>103</v>
      </c>
      <c r="H53" s="945"/>
    </row>
    <row r="54" spans="1:8" x14ac:dyDescent="0.3">
      <c r="A54" s="938"/>
      <c r="B54" s="942"/>
      <c r="C54" s="943"/>
      <c r="D54" s="944"/>
      <c r="E54" s="947" t="s">
        <v>195</v>
      </c>
      <c r="F54" s="947"/>
      <c r="G54" s="945">
        <v>51</v>
      </c>
      <c r="H54" s="945"/>
    </row>
    <row r="55" spans="1:8" x14ac:dyDescent="0.3">
      <c r="A55" s="938"/>
      <c r="B55" s="948" t="s">
        <v>196</v>
      </c>
      <c r="C55" s="949"/>
      <c r="D55" s="950"/>
      <c r="E55" s="947"/>
      <c r="F55" s="947"/>
      <c r="G55" s="945"/>
      <c r="H55" s="945"/>
    </row>
    <row r="56" spans="1:8" x14ac:dyDescent="0.3">
      <c r="A56" s="938"/>
      <c r="B56" s="951" t="s">
        <v>197</v>
      </c>
      <c r="C56" s="952"/>
      <c r="D56" s="953"/>
      <c r="E56" s="945" t="s">
        <v>198</v>
      </c>
      <c r="F56" s="945"/>
      <c r="G56" s="383">
        <v>1</v>
      </c>
      <c r="H56" s="945"/>
    </row>
    <row r="57" spans="1:8" x14ac:dyDescent="0.3">
      <c r="A57" s="938"/>
      <c r="B57" s="954" t="s">
        <v>199</v>
      </c>
      <c r="C57" s="955"/>
      <c r="D57" s="956"/>
      <c r="E57" s="947" t="s">
        <v>200</v>
      </c>
      <c r="F57" s="947"/>
      <c r="G57" s="383" t="s">
        <v>201</v>
      </c>
      <c r="H57" s="945"/>
    </row>
    <row r="58" spans="1:8" x14ac:dyDescent="0.3">
      <c r="A58" s="984"/>
      <c r="B58" s="844"/>
      <c r="C58" s="980"/>
      <c r="D58" s="845"/>
      <c r="E58" s="947"/>
      <c r="F58" s="947"/>
      <c r="G58" s="384">
        <v>44216</v>
      </c>
      <c r="H58" s="945"/>
    </row>
    <row r="59" spans="1:8" x14ac:dyDescent="0.3">
      <c r="A59" s="981" t="str">
        <f>Presupuesto!A8</f>
        <v>ADECUACION Y MEJORAMIENTO DE AULAS ESCOLARES UBICADA EN LA INSTITUCION EDUCATIVA TECNICO COMERCIAL LA DORADA SEDE ESCUELA CENTRAL DEL MUNICIPIO DE SAN MIGUEL PUTUMAYO</v>
      </c>
      <c r="B59" s="982"/>
      <c r="C59" s="982"/>
      <c r="D59" s="982"/>
      <c r="E59" s="982"/>
      <c r="F59" s="982"/>
      <c r="G59" s="982"/>
      <c r="H59" s="983"/>
    </row>
    <row r="60" spans="1:8" x14ac:dyDescent="0.3">
      <c r="A60" s="981"/>
      <c r="B60" s="982"/>
      <c r="C60" s="982"/>
      <c r="D60" s="982"/>
      <c r="E60" s="982"/>
      <c r="F60" s="982"/>
      <c r="G60" s="982"/>
      <c r="H60" s="983"/>
    </row>
    <row r="61" spans="1:8" x14ac:dyDescent="0.3">
      <c r="A61" s="981"/>
      <c r="B61" s="982"/>
      <c r="C61" s="982"/>
      <c r="D61" s="982"/>
      <c r="E61" s="982"/>
      <c r="F61" s="982"/>
      <c r="G61" s="982"/>
      <c r="H61" s="983"/>
    </row>
    <row r="62" spans="1:8" x14ac:dyDescent="0.3">
      <c r="A62" s="386"/>
      <c r="B62" s="387"/>
      <c r="C62" s="387"/>
      <c r="D62" s="387"/>
      <c r="E62" s="387"/>
      <c r="F62" s="387"/>
      <c r="G62" s="387"/>
      <c r="H62" s="388"/>
    </row>
    <row r="63" spans="1:8" x14ac:dyDescent="0.3">
      <c r="A63" s="707" t="s">
        <v>26</v>
      </c>
      <c r="B63" s="970"/>
      <c r="C63" s="970"/>
      <c r="D63" s="970"/>
      <c r="E63" s="970"/>
      <c r="F63" s="970"/>
      <c r="G63" s="970"/>
      <c r="H63" s="708"/>
    </row>
    <row r="64" spans="1:8" x14ac:dyDescent="0.3">
      <c r="A64" s="247"/>
      <c r="B64" s="202"/>
      <c r="C64" s="202"/>
      <c r="D64" s="202"/>
      <c r="E64" s="202"/>
      <c r="F64" s="208"/>
      <c r="G64" s="202"/>
      <c r="H64" s="244"/>
    </row>
    <row r="65" spans="1:13" x14ac:dyDescent="0.3">
      <c r="A65" s="486" t="s">
        <v>265</v>
      </c>
      <c r="B65" s="971" t="s">
        <v>266</v>
      </c>
      <c r="C65" s="972"/>
      <c r="D65" s="972"/>
      <c r="E65" s="972"/>
      <c r="F65" s="973"/>
      <c r="G65" s="487" t="s">
        <v>28</v>
      </c>
      <c r="H65" s="486" t="s">
        <v>232</v>
      </c>
    </row>
    <row r="66" spans="1:13" x14ac:dyDescent="0.3">
      <c r="A66" s="247"/>
      <c r="B66" s="202"/>
      <c r="C66" s="202"/>
      <c r="D66" s="202"/>
      <c r="E66" s="202"/>
      <c r="F66" s="208"/>
      <c r="G66" s="202"/>
      <c r="H66" s="244"/>
    </row>
    <row r="67" spans="1:13" ht="15" thickBot="1" x14ac:dyDescent="0.35">
      <c r="A67" s="389" t="s">
        <v>29</v>
      </c>
      <c r="B67" s="764" t="s">
        <v>255</v>
      </c>
      <c r="C67" s="765"/>
      <c r="D67" s="765"/>
      <c r="E67" s="765"/>
      <c r="F67" s="765"/>
      <c r="G67" s="766"/>
      <c r="H67" s="244"/>
    </row>
    <row r="68" spans="1:13" ht="15" thickBot="1" x14ac:dyDescent="0.35">
      <c r="A68" s="225"/>
      <c r="B68" s="735" t="s">
        <v>31</v>
      </c>
      <c r="C68" s="736"/>
      <c r="D68" s="225" t="s">
        <v>12</v>
      </c>
      <c r="E68" s="225" t="s">
        <v>33</v>
      </c>
      <c r="F68" s="209" t="s">
        <v>34</v>
      </c>
      <c r="G68" s="225" t="s">
        <v>35</v>
      </c>
      <c r="H68" s="244"/>
      <c r="I68" s="994" t="s">
        <v>345</v>
      </c>
      <c r="J68" s="995"/>
      <c r="K68" s="995"/>
      <c r="L68" s="995"/>
      <c r="M68" s="996"/>
    </row>
    <row r="69" spans="1:13" x14ac:dyDescent="0.3">
      <c r="A69" s="390"/>
      <c r="B69" s="978"/>
      <c r="C69" s="979"/>
      <c r="D69" s="391"/>
      <c r="E69" s="392"/>
      <c r="F69" s="392"/>
      <c r="G69" s="392"/>
      <c r="H69" s="245"/>
      <c r="I69" s="484" t="s">
        <v>341</v>
      </c>
      <c r="J69" s="385" t="s">
        <v>342</v>
      </c>
      <c r="K69" s="385"/>
      <c r="L69" s="482">
        <v>120000</v>
      </c>
      <c r="M69" s="482">
        <f>L69/8</f>
        <v>15000</v>
      </c>
    </row>
    <row r="70" spans="1:13" x14ac:dyDescent="0.3">
      <c r="A70" s="199"/>
      <c r="B70" s="974"/>
      <c r="C70" s="975"/>
      <c r="D70" s="393"/>
      <c r="E70" s="394"/>
      <c r="F70" s="394"/>
      <c r="G70" s="394"/>
      <c r="H70" s="245"/>
      <c r="I70" s="484" t="s">
        <v>343</v>
      </c>
      <c r="J70" s="385" t="s">
        <v>344</v>
      </c>
      <c r="K70" s="385"/>
      <c r="L70" s="482">
        <v>100000</v>
      </c>
      <c r="M70" s="482">
        <f>L70/8</f>
        <v>12500</v>
      </c>
    </row>
    <row r="71" spans="1:13" ht="15" thickBot="1" x14ac:dyDescent="0.35">
      <c r="A71" s="247"/>
      <c r="B71" s="202"/>
      <c r="C71" s="202"/>
      <c r="D71" s="202"/>
      <c r="E71" s="208" t="s">
        <v>36</v>
      </c>
      <c r="F71" s="208"/>
      <c r="G71" s="208"/>
      <c r="H71" s="395">
        <f>ROUND(SUM(G69:G70),0)</f>
        <v>0</v>
      </c>
    </row>
    <row r="72" spans="1:13" ht="15" thickBot="1" x14ac:dyDescent="0.35">
      <c r="A72" s="206" t="s">
        <v>37</v>
      </c>
      <c r="B72" s="764" t="s">
        <v>38</v>
      </c>
      <c r="C72" s="765"/>
      <c r="D72" s="765"/>
      <c r="E72" s="765"/>
      <c r="F72" s="765"/>
      <c r="G72" s="766"/>
      <c r="H72" s="228"/>
      <c r="I72" s="994" t="s">
        <v>337</v>
      </c>
      <c r="J72" s="995"/>
      <c r="K72" s="995"/>
      <c r="L72" s="995"/>
      <c r="M72" s="996"/>
    </row>
    <row r="73" spans="1:13" x14ac:dyDescent="0.3">
      <c r="A73" s="225"/>
      <c r="B73" s="735" t="s">
        <v>31</v>
      </c>
      <c r="C73" s="736"/>
      <c r="D73" s="199" t="s">
        <v>12</v>
      </c>
      <c r="E73" s="209" t="s">
        <v>39</v>
      </c>
      <c r="F73" s="209" t="s">
        <v>40</v>
      </c>
      <c r="G73" s="209" t="s">
        <v>35</v>
      </c>
      <c r="H73" s="228"/>
      <c r="I73" s="484" t="s">
        <v>335</v>
      </c>
      <c r="J73" s="385" t="s">
        <v>339</v>
      </c>
      <c r="K73" s="385"/>
      <c r="L73" s="482">
        <v>38000</v>
      </c>
      <c r="M73" s="482">
        <f>L73/50</f>
        <v>760</v>
      </c>
    </row>
    <row r="74" spans="1:13" x14ac:dyDescent="0.3">
      <c r="A74" s="199"/>
      <c r="B74" s="976" t="s">
        <v>259</v>
      </c>
      <c r="C74" s="977"/>
      <c r="D74" s="396" t="s">
        <v>242</v>
      </c>
      <c r="E74" s="397">
        <v>450</v>
      </c>
      <c r="F74" s="408">
        <f>M73</f>
        <v>760</v>
      </c>
      <c r="G74" s="397">
        <f>+F74*E74</f>
        <v>342000</v>
      </c>
      <c r="H74" s="228"/>
      <c r="I74" s="484" t="s">
        <v>334</v>
      </c>
      <c r="J74" s="385" t="s">
        <v>340</v>
      </c>
      <c r="K74" s="385"/>
      <c r="L74" s="482">
        <v>300000</v>
      </c>
      <c r="M74" s="483">
        <f>L74/6</f>
        <v>50000</v>
      </c>
    </row>
    <row r="75" spans="1:13" x14ac:dyDescent="0.3">
      <c r="A75" s="199"/>
      <c r="B75" s="976" t="s">
        <v>260</v>
      </c>
      <c r="C75" s="977"/>
      <c r="D75" s="396" t="s">
        <v>261</v>
      </c>
      <c r="E75" s="397">
        <v>260</v>
      </c>
      <c r="F75" s="408">
        <v>180</v>
      </c>
      <c r="G75" s="397">
        <f>+F75*E75</f>
        <v>46800</v>
      </c>
      <c r="H75" s="228"/>
      <c r="I75" s="484" t="s">
        <v>263</v>
      </c>
      <c r="J75" s="385" t="s">
        <v>340</v>
      </c>
      <c r="K75" s="385"/>
      <c r="L75" s="482">
        <v>1500000</v>
      </c>
      <c r="M75" s="482">
        <f>L75/6</f>
        <v>250000</v>
      </c>
    </row>
    <row r="76" spans="1:13" x14ac:dyDescent="0.3">
      <c r="A76" s="199"/>
      <c r="B76" s="976" t="s">
        <v>262</v>
      </c>
      <c r="C76" s="977"/>
      <c r="D76" s="396" t="s">
        <v>232</v>
      </c>
      <c r="E76" s="399">
        <v>1.08</v>
      </c>
      <c r="F76" s="408">
        <f>M74</f>
        <v>50000</v>
      </c>
      <c r="G76" s="397">
        <f>+F76*E76</f>
        <v>54000</v>
      </c>
      <c r="H76" s="228"/>
    </row>
    <row r="77" spans="1:13" x14ac:dyDescent="0.3">
      <c r="A77" s="199"/>
      <c r="B77" s="976"/>
      <c r="C77" s="977"/>
      <c r="D77" s="396"/>
      <c r="E77" s="399"/>
      <c r="F77" s="398"/>
      <c r="G77" s="397"/>
      <c r="H77" s="228"/>
    </row>
    <row r="78" spans="1:13" x14ac:dyDescent="0.3">
      <c r="A78" s="248" t="s">
        <v>41</v>
      </c>
      <c r="B78" s="202"/>
      <c r="C78" s="202"/>
      <c r="D78" s="202"/>
      <c r="E78" s="208" t="s">
        <v>42</v>
      </c>
      <c r="F78" s="208"/>
      <c r="G78" s="208"/>
      <c r="H78" s="400">
        <f>(SUM(G74:G77))</f>
        <v>442800</v>
      </c>
    </row>
    <row r="79" spans="1:13" x14ac:dyDescent="0.3">
      <c r="A79" s="206" t="s">
        <v>43</v>
      </c>
      <c r="B79" s="764" t="s">
        <v>44</v>
      </c>
      <c r="C79" s="765"/>
      <c r="D79" s="765"/>
      <c r="E79" s="765"/>
      <c r="F79" s="765"/>
      <c r="G79" s="766"/>
      <c r="H79" s="228"/>
    </row>
    <row r="80" spans="1:13" x14ac:dyDescent="0.3">
      <c r="A80" s="199"/>
      <c r="B80" s="225" t="s">
        <v>31</v>
      </c>
      <c r="C80" s="225" t="s">
        <v>264</v>
      </c>
      <c r="D80" s="225" t="s">
        <v>47</v>
      </c>
      <c r="E80" s="209" t="s">
        <v>39</v>
      </c>
      <c r="F80" s="207" t="s">
        <v>49</v>
      </c>
      <c r="G80" s="207" t="s">
        <v>35</v>
      </c>
      <c r="H80" s="228"/>
    </row>
    <row r="81" spans="1:8" x14ac:dyDescent="0.3">
      <c r="A81" s="199"/>
      <c r="B81" s="199"/>
      <c r="C81" s="401"/>
      <c r="D81" s="221"/>
      <c r="E81" s="210"/>
      <c r="F81" s="402"/>
      <c r="G81" s="403"/>
      <c r="H81" s="228"/>
    </row>
    <row r="82" spans="1:8" x14ac:dyDescent="0.3">
      <c r="A82" s="248"/>
      <c r="B82" s="202"/>
      <c r="C82" s="202"/>
      <c r="D82" s="202"/>
      <c r="E82" s="208" t="s">
        <v>50</v>
      </c>
      <c r="F82" s="208"/>
      <c r="G82" s="208"/>
      <c r="H82" s="400">
        <f>SUM(G81)</f>
        <v>0</v>
      </c>
    </row>
    <row r="83" spans="1:8" x14ac:dyDescent="0.3">
      <c r="A83" s="206" t="s">
        <v>51</v>
      </c>
      <c r="B83" s="764" t="s">
        <v>18</v>
      </c>
      <c r="C83" s="765"/>
      <c r="D83" s="765"/>
      <c r="E83" s="765"/>
      <c r="F83" s="765"/>
      <c r="G83" s="766"/>
      <c r="H83" s="228"/>
    </row>
    <row r="84" spans="1:8" x14ac:dyDescent="0.3">
      <c r="A84" s="199"/>
      <c r="B84" s="199" t="s">
        <v>31</v>
      </c>
      <c r="C84" s="225" t="s">
        <v>12</v>
      </c>
      <c r="D84" s="225" t="s">
        <v>13</v>
      </c>
      <c r="E84" s="225" t="s">
        <v>52</v>
      </c>
      <c r="F84" s="209"/>
      <c r="G84" s="207" t="s">
        <v>53</v>
      </c>
      <c r="H84" s="228"/>
    </row>
    <row r="85" spans="1:8" x14ac:dyDescent="0.3">
      <c r="A85" s="199"/>
      <c r="B85" s="199"/>
      <c r="C85" s="214"/>
      <c r="D85" s="199"/>
      <c r="E85" s="207"/>
      <c r="F85" s="207"/>
      <c r="G85" s="207"/>
      <c r="H85" s="228"/>
    </row>
    <row r="86" spans="1:8" x14ac:dyDescent="0.3">
      <c r="A86" s="248"/>
      <c r="B86" s="202"/>
      <c r="C86" s="202"/>
      <c r="D86" s="202"/>
      <c r="E86" s="208" t="s">
        <v>50</v>
      </c>
      <c r="F86" s="208"/>
      <c r="G86" s="208"/>
      <c r="H86" s="228">
        <f>SUM(G85)</f>
        <v>0</v>
      </c>
    </row>
    <row r="87" spans="1:8" x14ac:dyDescent="0.3">
      <c r="A87" s="247"/>
      <c r="B87" s="202"/>
      <c r="C87" s="202"/>
      <c r="D87" s="202"/>
      <c r="E87" s="208"/>
      <c r="F87" s="208"/>
      <c r="G87" s="208"/>
      <c r="H87" s="228"/>
    </row>
    <row r="88" spans="1:8" x14ac:dyDescent="0.3">
      <c r="A88" s="247"/>
      <c r="B88" s="202"/>
      <c r="C88" s="202"/>
      <c r="D88" s="215" t="s">
        <v>54</v>
      </c>
      <c r="E88" s="216"/>
      <c r="F88" s="216"/>
      <c r="G88" s="216"/>
      <c r="H88" s="404">
        <f>ROUND(SUM(H71:H87),0)</f>
        <v>442800</v>
      </c>
    </row>
    <row r="89" spans="1:8" x14ac:dyDescent="0.3">
      <c r="A89" s="206" t="s">
        <v>55</v>
      </c>
      <c r="B89" s="764" t="s">
        <v>56</v>
      </c>
      <c r="C89" s="765"/>
      <c r="D89" s="765"/>
      <c r="E89" s="765"/>
      <c r="F89" s="765"/>
      <c r="G89" s="766"/>
      <c r="H89" s="228"/>
    </row>
    <row r="90" spans="1:8" x14ac:dyDescent="0.3">
      <c r="A90" s="225"/>
      <c r="B90" s="225" t="s">
        <v>31</v>
      </c>
      <c r="C90" s="225" t="s">
        <v>57</v>
      </c>
      <c r="D90" s="199" t="s">
        <v>58</v>
      </c>
      <c r="E90" s="207"/>
      <c r="F90" s="207" t="s">
        <v>59</v>
      </c>
      <c r="G90" s="207"/>
      <c r="H90" s="228"/>
    </row>
    <row r="91" spans="1:8" x14ac:dyDescent="0.3">
      <c r="A91" s="199"/>
      <c r="B91" s="225" t="s">
        <v>60</v>
      </c>
      <c r="C91" s="212">
        <v>0.1</v>
      </c>
      <c r="D91" s="199"/>
      <c r="E91" s="210"/>
      <c r="F91" s="405"/>
      <c r="G91" s="406">
        <f>+H88*C91</f>
        <v>44280</v>
      </c>
      <c r="H91" s="228"/>
    </row>
    <row r="92" spans="1:8" x14ac:dyDescent="0.3">
      <c r="A92" s="199"/>
      <c r="B92" s="225" t="s">
        <v>61</v>
      </c>
      <c r="C92" s="212">
        <v>0.02</v>
      </c>
      <c r="D92" s="199"/>
      <c r="E92" s="210"/>
      <c r="F92" s="405"/>
      <c r="G92" s="406">
        <f>+H88*C92</f>
        <v>8856</v>
      </c>
      <c r="H92" s="228"/>
    </row>
    <row r="93" spans="1:8" x14ac:dyDescent="0.3">
      <c r="A93" s="247"/>
      <c r="B93" s="202"/>
      <c r="C93" s="202"/>
      <c r="D93" s="215" t="s">
        <v>63</v>
      </c>
      <c r="E93" s="216"/>
      <c r="F93" s="216"/>
      <c r="G93" s="216"/>
      <c r="H93" s="404">
        <f>SUM(G91:G92)</f>
        <v>53136</v>
      </c>
    </row>
    <row r="94" spans="1:8" x14ac:dyDescent="0.3">
      <c r="A94" s="247"/>
      <c r="B94" s="202"/>
      <c r="C94" s="202"/>
      <c r="D94" s="202"/>
      <c r="E94" s="208"/>
      <c r="F94" s="208"/>
      <c r="G94" s="208"/>
      <c r="H94" s="404"/>
    </row>
    <row r="95" spans="1:8" x14ac:dyDescent="0.3">
      <c r="A95" s="247"/>
      <c r="B95" s="202"/>
      <c r="C95" s="202"/>
      <c r="D95" s="215" t="s">
        <v>64</v>
      </c>
      <c r="E95" s="216"/>
      <c r="F95" s="216"/>
      <c r="G95" s="208"/>
      <c r="H95" s="404">
        <f>ROUND((H88+H93),0)</f>
        <v>495936</v>
      </c>
    </row>
    <row r="96" spans="1:8" x14ac:dyDescent="0.3">
      <c r="A96" s="247"/>
      <c r="B96" s="202"/>
      <c r="C96" s="202"/>
    </row>
    <row r="97" spans="1:8" x14ac:dyDescent="0.3">
      <c r="A97" s="247"/>
      <c r="B97" s="202"/>
      <c r="C97" s="202"/>
    </row>
    <row r="98" spans="1:8" x14ac:dyDescent="0.3">
      <c r="A98" s="247"/>
      <c r="B98" s="202"/>
      <c r="C98" s="202"/>
    </row>
    <row r="99" spans="1:8" x14ac:dyDescent="0.3">
      <c r="A99" s="409"/>
      <c r="B99" s="204"/>
      <c r="C99" s="202"/>
    </row>
    <row r="100" spans="1:8" x14ac:dyDescent="0.3">
      <c r="A100" s="216" t="str">
        <f>Presupuesto!D65</f>
        <v>ARQ. GUILLERMO YAMID VALLEJOS BENAVIDES</v>
      </c>
      <c r="B100" s="217"/>
      <c r="C100" s="202"/>
    </row>
    <row r="101" spans="1:8" x14ac:dyDescent="0.3">
      <c r="A101" s="216" t="str">
        <f>Presupuesto!D66</f>
        <v>SECRETARIO DE PLANEACION Y OBRAS PUBLICAS</v>
      </c>
      <c r="B101" s="217"/>
      <c r="C101" s="202"/>
    </row>
    <row r="102" spans="1:8" x14ac:dyDescent="0.3">
      <c r="A102" s="216" t="str">
        <f>Presupuesto!D67</f>
        <v>SAN MIGUEL - PUTUMAYO</v>
      </c>
      <c r="B102" s="251"/>
      <c r="C102" s="204"/>
    </row>
    <row r="103" spans="1:8" x14ac:dyDescent="0.3">
      <c r="A103" s="937"/>
      <c r="B103" s="939" t="s">
        <v>193</v>
      </c>
      <c r="C103" s="940"/>
      <c r="D103" s="941"/>
      <c r="E103" s="948" t="s">
        <v>194</v>
      </c>
      <c r="F103" s="950"/>
      <c r="G103" s="383">
        <v>103</v>
      </c>
      <c r="H103" s="946"/>
    </row>
    <row r="104" spans="1:8" x14ac:dyDescent="0.3">
      <c r="A104" s="938"/>
      <c r="B104" s="942"/>
      <c r="C104" s="943"/>
      <c r="D104" s="944"/>
      <c r="E104" s="985" t="s">
        <v>195</v>
      </c>
      <c r="F104" s="986"/>
      <c r="G104" s="946">
        <v>51</v>
      </c>
      <c r="H104" s="993"/>
    </row>
    <row r="105" spans="1:8" x14ac:dyDescent="0.3">
      <c r="A105" s="938"/>
      <c r="B105" s="948" t="s">
        <v>196</v>
      </c>
      <c r="C105" s="949"/>
      <c r="D105" s="950"/>
      <c r="E105" s="987"/>
      <c r="F105" s="988"/>
      <c r="G105" s="989"/>
      <c r="H105" s="993"/>
    </row>
    <row r="106" spans="1:8" x14ac:dyDescent="0.3">
      <c r="A106" s="938"/>
      <c r="B106" s="951" t="s">
        <v>197</v>
      </c>
      <c r="C106" s="952"/>
      <c r="D106" s="953"/>
      <c r="E106" s="948" t="s">
        <v>198</v>
      </c>
      <c r="F106" s="950"/>
      <c r="G106" s="383">
        <v>1</v>
      </c>
      <c r="H106" s="993"/>
    </row>
    <row r="107" spans="1:8" x14ac:dyDescent="0.3">
      <c r="A107" s="938"/>
      <c r="B107" s="954" t="s">
        <v>199</v>
      </c>
      <c r="C107" s="955"/>
      <c r="D107" s="956"/>
      <c r="E107" s="985" t="s">
        <v>200</v>
      </c>
      <c r="F107" s="986"/>
      <c r="G107" s="383" t="s">
        <v>201</v>
      </c>
      <c r="H107" s="993"/>
    </row>
    <row r="108" spans="1:8" x14ac:dyDescent="0.3">
      <c r="A108" s="984"/>
      <c r="B108" s="844"/>
      <c r="C108" s="980"/>
      <c r="D108" s="845"/>
      <c r="E108" s="987"/>
      <c r="F108" s="988"/>
      <c r="G108" s="384">
        <v>44216</v>
      </c>
      <c r="H108" s="989"/>
    </row>
    <row r="109" spans="1:8" x14ac:dyDescent="0.3">
      <c r="A109" s="410"/>
      <c r="B109" s="411"/>
      <c r="C109" s="412"/>
      <c r="D109" s="412"/>
      <c r="E109" s="412"/>
      <c r="F109" s="412"/>
      <c r="G109" s="413"/>
      <c r="H109" s="414"/>
    </row>
    <row r="110" spans="1:8" s="385" customFormat="1" ht="16.5" customHeight="1" x14ac:dyDescent="0.25">
      <c r="A110" s="981" t="str">
        <f>Presupuesto!A8</f>
        <v>ADECUACION Y MEJORAMIENTO DE AULAS ESCOLARES UBICADA EN LA INSTITUCION EDUCATIVA TECNICO COMERCIAL LA DORADA SEDE ESCUELA CENTRAL DEL MUNICIPIO DE SAN MIGUEL PUTUMAYO</v>
      </c>
      <c r="B110" s="982"/>
      <c r="C110" s="982"/>
      <c r="D110" s="982"/>
      <c r="E110" s="982"/>
      <c r="F110" s="982"/>
      <c r="G110" s="982"/>
      <c r="H110" s="983"/>
    </row>
    <row r="111" spans="1:8" s="385" customFormat="1" ht="13.8" x14ac:dyDescent="0.25">
      <c r="A111" s="981"/>
      <c r="B111" s="982"/>
      <c r="C111" s="982"/>
      <c r="D111" s="982"/>
      <c r="E111" s="982"/>
      <c r="F111" s="982"/>
      <c r="G111" s="982"/>
      <c r="H111" s="983"/>
    </row>
    <row r="112" spans="1:8" s="385" customFormat="1" ht="13.8" x14ac:dyDescent="0.25">
      <c r="A112" s="981"/>
      <c r="B112" s="982"/>
      <c r="C112" s="982"/>
      <c r="D112" s="982"/>
      <c r="E112" s="982"/>
      <c r="F112" s="982"/>
      <c r="G112" s="982"/>
      <c r="H112" s="983"/>
    </row>
    <row r="113" spans="1:13" s="385" customFormat="1" ht="13.8" x14ac:dyDescent="0.25">
      <c r="A113" s="386"/>
      <c r="B113" s="387"/>
      <c r="C113" s="387"/>
      <c r="D113" s="387"/>
      <c r="E113" s="387"/>
      <c r="F113" s="387"/>
      <c r="G113" s="387"/>
      <c r="H113" s="388"/>
    </row>
    <row r="114" spans="1:13" s="385" customFormat="1" ht="13.8" x14ac:dyDescent="0.25">
      <c r="A114" s="707" t="s">
        <v>26</v>
      </c>
      <c r="B114" s="970"/>
      <c r="C114" s="970"/>
      <c r="D114" s="970"/>
      <c r="E114" s="970"/>
      <c r="F114" s="970"/>
      <c r="G114" s="970"/>
      <c r="H114" s="708"/>
    </row>
    <row r="115" spans="1:13" s="385" customFormat="1" ht="13.8" x14ac:dyDescent="0.25">
      <c r="A115" s="247"/>
      <c r="B115" s="202"/>
      <c r="C115" s="202"/>
      <c r="D115" s="202"/>
      <c r="E115" s="202"/>
      <c r="F115" s="208"/>
      <c r="G115" s="202"/>
      <c r="H115" s="244"/>
    </row>
    <row r="116" spans="1:13" s="385" customFormat="1" ht="13.8" x14ac:dyDescent="0.25">
      <c r="A116" s="486" t="s">
        <v>267</v>
      </c>
      <c r="B116" s="971" t="s">
        <v>268</v>
      </c>
      <c r="C116" s="972"/>
      <c r="D116" s="972"/>
      <c r="E116" s="972"/>
      <c r="F116" s="973"/>
      <c r="G116" s="487" t="s">
        <v>28</v>
      </c>
      <c r="H116" s="486" t="s">
        <v>232</v>
      </c>
    </row>
    <row r="117" spans="1:13" s="385" customFormat="1" ht="13.8" x14ac:dyDescent="0.25">
      <c r="A117" s="247"/>
      <c r="B117" s="202"/>
      <c r="C117" s="202"/>
      <c r="D117" s="202"/>
      <c r="E117" s="202"/>
      <c r="F117" s="208"/>
      <c r="G117" s="202"/>
      <c r="H117" s="244"/>
    </row>
    <row r="118" spans="1:13" s="385" customFormat="1" thickBot="1" x14ac:dyDescent="0.3">
      <c r="A118" s="389" t="s">
        <v>29</v>
      </c>
      <c r="B118" s="764" t="s">
        <v>255</v>
      </c>
      <c r="C118" s="765"/>
      <c r="D118" s="765"/>
      <c r="E118" s="765"/>
      <c r="F118" s="765"/>
      <c r="G118" s="766"/>
      <c r="H118" s="244"/>
    </row>
    <row r="119" spans="1:13" s="385" customFormat="1" thickBot="1" x14ac:dyDescent="0.3">
      <c r="A119" s="225"/>
      <c r="B119" s="735" t="s">
        <v>31</v>
      </c>
      <c r="C119" s="736"/>
      <c r="D119" s="225" t="s">
        <v>12</v>
      </c>
      <c r="E119" s="225" t="s">
        <v>33</v>
      </c>
      <c r="F119" s="209" t="s">
        <v>34</v>
      </c>
      <c r="G119" s="225" t="s">
        <v>35</v>
      </c>
      <c r="H119" s="244"/>
      <c r="I119" s="994" t="s">
        <v>345</v>
      </c>
      <c r="J119" s="995"/>
      <c r="K119" s="995"/>
      <c r="L119" s="995"/>
      <c r="M119" s="996"/>
    </row>
    <row r="120" spans="1:13" s="385" customFormat="1" ht="13.8" x14ac:dyDescent="0.25">
      <c r="A120" s="225"/>
      <c r="B120" s="737" t="s">
        <v>256</v>
      </c>
      <c r="C120" s="738"/>
      <c r="D120" s="391" t="s">
        <v>257</v>
      </c>
      <c r="E120" s="392">
        <f>M120</f>
        <v>15000</v>
      </c>
      <c r="F120" s="392">
        <v>3.5</v>
      </c>
      <c r="G120" s="392">
        <f>E120*F120</f>
        <v>52500</v>
      </c>
      <c r="H120" s="244"/>
      <c r="I120" s="484" t="s">
        <v>341</v>
      </c>
      <c r="J120" s="385" t="s">
        <v>342</v>
      </c>
      <c r="L120" s="482">
        <v>120000</v>
      </c>
      <c r="M120" s="482">
        <f>L120/8</f>
        <v>15000</v>
      </c>
    </row>
    <row r="121" spans="1:13" s="385" customFormat="1" ht="13.8" x14ac:dyDescent="0.25">
      <c r="A121" s="199"/>
      <c r="B121" s="737" t="s">
        <v>258</v>
      </c>
      <c r="C121" s="738"/>
      <c r="D121" s="393" t="s">
        <v>257</v>
      </c>
      <c r="E121" s="394">
        <f>M121</f>
        <v>12500</v>
      </c>
      <c r="F121" s="394">
        <v>3.5</v>
      </c>
      <c r="G121" s="394">
        <f>E121*F121</f>
        <v>43750</v>
      </c>
      <c r="H121" s="245"/>
      <c r="I121" s="484" t="s">
        <v>343</v>
      </c>
      <c r="J121" s="385" t="s">
        <v>344</v>
      </c>
      <c r="L121" s="482">
        <v>100000</v>
      </c>
      <c r="M121" s="482">
        <f>L121/8</f>
        <v>12500</v>
      </c>
    </row>
    <row r="122" spans="1:13" s="385" customFormat="1" ht="13.8" x14ac:dyDescent="0.25">
      <c r="A122" s="248"/>
      <c r="B122" s="202"/>
      <c r="C122" s="202"/>
      <c r="D122" s="202"/>
      <c r="E122" s="208" t="s">
        <v>36</v>
      </c>
      <c r="F122" s="208"/>
      <c r="G122" s="208"/>
      <c r="H122" s="395">
        <f>ROUND(SUM(G120:G121),0)</f>
        <v>96250</v>
      </c>
    </row>
    <row r="123" spans="1:13" s="385" customFormat="1" thickBot="1" x14ac:dyDescent="0.3">
      <c r="A123" s="206" t="s">
        <v>37</v>
      </c>
      <c r="B123" s="764" t="s">
        <v>38</v>
      </c>
      <c r="C123" s="765"/>
      <c r="D123" s="765"/>
      <c r="E123" s="765"/>
      <c r="F123" s="765"/>
      <c r="G123" s="766"/>
      <c r="H123" s="228"/>
    </row>
    <row r="124" spans="1:13" s="385" customFormat="1" thickBot="1" x14ac:dyDescent="0.3">
      <c r="A124" s="225"/>
      <c r="B124" s="735" t="s">
        <v>31</v>
      </c>
      <c r="C124" s="736"/>
      <c r="D124" s="199" t="s">
        <v>12</v>
      </c>
      <c r="E124" s="209" t="s">
        <v>39</v>
      </c>
      <c r="F124" s="209" t="s">
        <v>40</v>
      </c>
      <c r="G124" s="209" t="s">
        <v>35</v>
      </c>
      <c r="H124" s="228"/>
      <c r="I124" s="994" t="s">
        <v>337</v>
      </c>
      <c r="J124" s="995"/>
      <c r="K124" s="995"/>
      <c r="L124" s="995"/>
      <c r="M124" s="996"/>
    </row>
    <row r="125" spans="1:13" s="385" customFormat="1" ht="13.8" x14ac:dyDescent="0.25">
      <c r="A125" s="199"/>
      <c r="B125" s="976" t="s">
        <v>259</v>
      </c>
      <c r="C125" s="977"/>
      <c r="D125" s="396" t="s">
        <v>242</v>
      </c>
      <c r="E125" s="397">
        <v>300</v>
      </c>
      <c r="F125" s="398">
        <f>M125</f>
        <v>760</v>
      </c>
      <c r="G125" s="397">
        <f>+F125*E125</f>
        <v>228000</v>
      </c>
      <c r="H125" s="228"/>
      <c r="I125" s="484" t="s">
        <v>335</v>
      </c>
      <c r="J125" s="385" t="s">
        <v>339</v>
      </c>
      <c r="L125" s="482">
        <v>38000</v>
      </c>
      <c r="M125" s="482">
        <f>L125/50</f>
        <v>760</v>
      </c>
    </row>
    <row r="126" spans="1:13" s="385" customFormat="1" ht="13.8" x14ac:dyDescent="0.25">
      <c r="A126" s="199"/>
      <c r="B126" s="976" t="s">
        <v>260</v>
      </c>
      <c r="C126" s="977"/>
      <c r="D126" s="396" t="s">
        <v>261</v>
      </c>
      <c r="E126" s="397">
        <v>210</v>
      </c>
      <c r="F126" s="398">
        <v>180</v>
      </c>
      <c r="G126" s="397">
        <f>+F126*E126</f>
        <v>37800</v>
      </c>
      <c r="H126" s="228"/>
      <c r="I126" s="484" t="s">
        <v>334</v>
      </c>
      <c r="J126" s="385" t="s">
        <v>340</v>
      </c>
      <c r="L126" s="482">
        <v>300000</v>
      </c>
      <c r="M126" s="483">
        <f>L126/6</f>
        <v>50000</v>
      </c>
    </row>
    <row r="127" spans="1:13" s="385" customFormat="1" ht="13.8" x14ac:dyDescent="0.25">
      <c r="A127" s="199"/>
      <c r="B127" s="976" t="s">
        <v>262</v>
      </c>
      <c r="C127" s="977"/>
      <c r="D127" s="396" t="s">
        <v>232</v>
      </c>
      <c r="E127" s="399">
        <v>0.48</v>
      </c>
      <c r="F127" s="398">
        <f>M126</f>
        <v>50000</v>
      </c>
      <c r="G127" s="397">
        <f>+F127*E127</f>
        <v>24000</v>
      </c>
      <c r="H127" s="228"/>
      <c r="I127" s="484" t="s">
        <v>263</v>
      </c>
      <c r="J127" s="385" t="s">
        <v>340</v>
      </c>
      <c r="L127" s="482">
        <v>1500000</v>
      </c>
      <c r="M127" s="482">
        <f>L127/6</f>
        <v>250000</v>
      </c>
    </row>
    <row r="128" spans="1:13" s="385" customFormat="1" ht="13.8" x14ac:dyDescent="0.25">
      <c r="A128" s="199"/>
      <c r="B128" s="976" t="s">
        <v>263</v>
      </c>
      <c r="C128" s="977"/>
      <c r="D128" s="396" t="s">
        <v>232</v>
      </c>
      <c r="E128" s="399">
        <v>0.96</v>
      </c>
      <c r="F128" s="398">
        <f>M127</f>
        <v>250000</v>
      </c>
      <c r="G128" s="397">
        <f>+F128*E128</f>
        <v>240000</v>
      </c>
      <c r="H128" s="228"/>
    </row>
    <row r="129" spans="1:8" s="385" customFormat="1" ht="13.8" x14ac:dyDescent="0.25">
      <c r="A129" s="248" t="s">
        <v>41</v>
      </c>
      <c r="B129" s="202"/>
      <c r="C129" s="202"/>
      <c r="D129" s="202"/>
      <c r="E129" s="208" t="s">
        <v>42</v>
      </c>
      <c r="F129" s="208"/>
      <c r="G129" s="208"/>
      <c r="H129" s="400">
        <f>(SUM(G125:G128))</f>
        <v>529800</v>
      </c>
    </row>
    <row r="130" spans="1:8" s="385" customFormat="1" ht="13.8" x14ac:dyDescent="0.25">
      <c r="A130" s="206" t="s">
        <v>43</v>
      </c>
      <c r="B130" s="764" t="s">
        <v>44</v>
      </c>
      <c r="C130" s="765"/>
      <c r="D130" s="765"/>
      <c r="E130" s="765"/>
      <c r="F130" s="765"/>
      <c r="G130" s="766"/>
      <c r="H130" s="228"/>
    </row>
    <row r="131" spans="1:8" s="385" customFormat="1" ht="13.8" x14ac:dyDescent="0.25">
      <c r="A131" s="199"/>
      <c r="B131" s="225" t="s">
        <v>31</v>
      </c>
      <c r="C131" s="225" t="s">
        <v>264</v>
      </c>
      <c r="D131" s="225" t="s">
        <v>47</v>
      </c>
      <c r="E131" s="209" t="s">
        <v>39</v>
      </c>
      <c r="F131" s="207" t="s">
        <v>49</v>
      </c>
      <c r="G131" s="207" t="s">
        <v>35</v>
      </c>
      <c r="H131" s="228"/>
    </row>
    <row r="132" spans="1:8" s="385" customFormat="1" ht="13.8" x14ac:dyDescent="0.25">
      <c r="A132" s="199"/>
      <c r="B132" s="199"/>
      <c r="C132" s="401"/>
      <c r="D132" s="221"/>
      <c r="E132" s="210"/>
      <c r="F132" s="402"/>
      <c r="G132" s="403"/>
      <c r="H132" s="228"/>
    </row>
    <row r="133" spans="1:8" s="385" customFormat="1" ht="13.8" x14ac:dyDescent="0.25">
      <c r="A133" s="248"/>
      <c r="B133" s="202"/>
      <c r="C133" s="202"/>
      <c r="D133" s="202"/>
      <c r="E133" s="208" t="s">
        <v>50</v>
      </c>
      <c r="F133" s="208"/>
      <c r="G133" s="208"/>
      <c r="H133" s="400">
        <f>SUM(G132)</f>
        <v>0</v>
      </c>
    </row>
    <row r="134" spans="1:8" s="385" customFormat="1" ht="13.8" x14ac:dyDescent="0.25">
      <c r="A134" s="206" t="s">
        <v>51</v>
      </c>
      <c r="B134" s="764" t="s">
        <v>18</v>
      </c>
      <c r="C134" s="765"/>
      <c r="D134" s="765"/>
      <c r="E134" s="765"/>
      <c r="F134" s="765"/>
      <c r="G134" s="766"/>
      <c r="H134" s="228"/>
    </row>
    <row r="135" spans="1:8" s="385" customFormat="1" ht="13.8" x14ac:dyDescent="0.25">
      <c r="A135" s="199"/>
      <c r="B135" s="199" t="s">
        <v>31</v>
      </c>
      <c r="C135" s="225" t="s">
        <v>12</v>
      </c>
      <c r="D135" s="225" t="s">
        <v>13</v>
      </c>
      <c r="E135" s="225" t="s">
        <v>52</v>
      </c>
      <c r="F135" s="209"/>
      <c r="G135" s="207" t="s">
        <v>53</v>
      </c>
      <c r="H135" s="228"/>
    </row>
    <row r="136" spans="1:8" s="385" customFormat="1" ht="13.8" x14ac:dyDescent="0.25">
      <c r="A136" s="199"/>
      <c r="B136" s="199"/>
      <c r="C136" s="214"/>
      <c r="D136" s="199"/>
      <c r="E136" s="207"/>
      <c r="F136" s="207"/>
      <c r="G136" s="207"/>
      <c r="H136" s="228"/>
    </row>
    <row r="137" spans="1:8" s="385" customFormat="1" ht="13.8" x14ac:dyDescent="0.25">
      <c r="A137" s="248"/>
      <c r="B137" s="202"/>
      <c r="C137" s="202"/>
      <c r="D137" s="202"/>
      <c r="E137" s="208" t="s">
        <v>50</v>
      </c>
      <c r="F137" s="208"/>
      <c r="G137" s="208"/>
      <c r="H137" s="228">
        <f>SUM(G136)</f>
        <v>0</v>
      </c>
    </row>
    <row r="138" spans="1:8" s="385" customFormat="1" ht="13.8" x14ac:dyDescent="0.25">
      <c r="A138" s="247"/>
      <c r="B138" s="202"/>
      <c r="C138" s="202"/>
      <c r="D138" s="202"/>
      <c r="E138" s="208"/>
      <c r="F138" s="208"/>
      <c r="G138" s="208"/>
      <c r="H138" s="228"/>
    </row>
    <row r="139" spans="1:8" s="385" customFormat="1" ht="13.8" x14ac:dyDescent="0.25">
      <c r="A139" s="247"/>
      <c r="B139" s="202"/>
      <c r="C139" s="202"/>
      <c r="D139" s="215" t="s">
        <v>54</v>
      </c>
      <c r="E139" s="216"/>
      <c r="F139" s="216"/>
      <c r="G139" s="216"/>
      <c r="H139" s="404">
        <f>ROUND(SUM(H122:H138),0)</f>
        <v>626050</v>
      </c>
    </row>
    <row r="140" spans="1:8" s="385" customFormat="1" ht="13.8" x14ac:dyDescent="0.25">
      <c r="A140" s="206" t="s">
        <v>55</v>
      </c>
      <c r="B140" s="764" t="s">
        <v>56</v>
      </c>
      <c r="C140" s="765"/>
      <c r="D140" s="765"/>
      <c r="E140" s="765"/>
      <c r="F140" s="765"/>
      <c r="G140" s="766"/>
      <c r="H140" s="228"/>
    </row>
    <row r="141" spans="1:8" s="385" customFormat="1" ht="13.8" x14ac:dyDescent="0.25">
      <c r="A141" s="225"/>
      <c r="B141" s="225" t="s">
        <v>31</v>
      </c>
      <c r="C141" s="225" t="s">
        <v>57</v>
      </c>
      <c r="D141" s="199" t="s">
        <v>58</v>
      </c>
      <c r="E141" s="207"/>
      <c r="F141" s="207" t="s">
        <v>59</v>
      </c>
      <c r="G141" s="207"/>
      <c r="H141" s="228"/>
    </row>
    <row r="142" spans="1:8" s="385" customFormat="1" ht="13.8" x14ac:dyDescent="0.25">
      <c r="A142" s="199"/>
      <c r="B142" s="225" t="s">
        <v>60</v>
      </c>
      <c r="C142" s="212">
        <v>0.1</v>
      </c>
      <c r="D142" s="199"/>
      <c r="E142" s="210"/>
      <c r="F142" s="405"/>
      <c r="G142" s="406">
        <f>+H139*C142</f>
        <v>62605</v>
      </c>
      <c r="H142" s="228"/>
    </row>
    <row r="143" spans="1:8" s="385" customFormat="1" ht="13.8" x14ac:dyDescent="0.25">
      <c r="A143" s="199"/>
      <c r="B143" s="225" t="s">
        <v>61</v>
      </c>
      <c r="C143" s="212">
        <v>0.02</v>
      </c>
      <c r="D143" s="199"/>
      <c r="E143" s="210"/>
      <c r="F143" s="405"/>
      <c r="G143" s="406">
        <f>+H139*C143</f>
        <v>12521</v>
      </c>
      <c r="H143" s="228"/>
    </row>
    <row r="144" spans="1:8" s="385" customFormat="1" ht="13.8" x14ac:dyDescent="0.25">
      <c r="A144" s="247"/>
      <c r="B144" s="202"/>
      <c r="C144" s="202"/>
      <c r="D144" s="215" t="s">
        <v>63</v>
      </c>
      <c r="E144" s="216"/>
      <c r="F144" s="216"/>
      <c r="G144" s="216"/>
      <c r="H144" s="404">
        <f>SUM(G142:G143)</f>
        <v>75126</v>
      </c>
    </row>
    <row r="145" spans="1:8" s="385" customFormat="1" ht="13.8" x14ac:dyDescent="0.25">
      <c r="A145" s="247"/>
      <c r="B145" s="202"/>
      <c r="C145" s="202"/>
      <c r="D145" s="202"/>
      <c r="E145" s="208"/>
      <c r="F145" s="208"/>
      <c r="G145" s="208"/>
      <c r="H145" s="404"/>
    </row>
    <row r="146" spans="1:8" s="385" customFormat="1" ht="13.8" x14ac:dyDescent="0.25">
      <c r="A146" s="247"/>
      <c r="B146" s="202"/>
      <c r="C146" s="202"/>
      <c r="D146" s="215" t="s">
        <v>64</v>
      </c>
      <c r="E146" s="216"/>
      <c r="F146" s="216"/>
      <c r="G146" s="208"/>
      <c r="H146" s="404">
        <f>ROUND((H139+H144),0)</f>
        <v>701176</v>
      </c>
    </row>
    <row r="147" spans="1:8" s="385" customFormat="1" ht="13.8" x14ac:dyDescent="0.25">
      <c r="A147" s="247"/>
      <c r="B147" s="202"/>
      <c r="C147" s="202"/>
      <c r="D147" s="215"/>
      <c r="E147" s="216"/>
      <c r="F147" s="216"/>
      <c r="G147" s="208"/>
      <c r="H147" s="404"/>
    </row>
    <row r="148" spans="1:8" s="385" customFormat="1" ht="13.8" x14ac:dyDescent="0.25">
      <c r="A148" s="247"/>
      <c r="B148" s="202"/>
      <c r="C148" s="202"/>
      <c r="D148" s="215"/>
      <c r="E148" s="216"/>
      <c r="F148" s="216"/>
      <c r="G148" s="208"/>
      <c r="H148" s="415"/>
    </row>
    <row r="149" spans="1:8" s="385" customFormat="1" ht="13.8" x14ac:dyDescent="0.25">
      <c r="A149" s="247"/>
      <c r="B149" s="202"/>
      <c r="C149" s="202"/>
      <c r="D149" s="215"/>
      <c r="E149" s="216"/>
      <c r="F149" s="216"/>
      <c r="G149" s="208"/>
      <c r="H149" s="415"/>
    </row>
    <row r="150" spans="1:8" s="385" customFormat="1" ht="13.8" x14ac:dyDescent="0.25">
      <c r="A150" s="247"/>
      <c r="B150" s="202"/>
      <c r="C150" s="202"/>
      <c r="D150" s="215"/>
      <c r="E150" s="216"/>
      <c r="F150" s="216"/>
      <c r="G150" s="208"/>
      <c r="H150" s="222"/>
    </row>
    <row r="151" spans="1:8" s="385" customFormat="1" ht="13.8" x14ac:dyDescent="0.25">
      <c r="A151" s="407" t="str">
        <f>Presupuesto!D65</f>
        <v>ARQ. GUILLERMO YAMID VALLEJOS BENAVIDES</v>
      </c>
      <c r="B151" s="416"/>
      <c r="C151" s="202"/>
      <c r="D151" s="215"/>
      <c r="F151" s="208"/>
      <c r="G151" s="208"/>
      <c r="H151" s="222"/>
    </row>
    <row r="152" spans="1:8" s="385" customFormat="1" ht="13.8" x14ac:dyDescent="0.25">
      <c r="A152" s="407" t="str">
        <f>Presupuesto!D66</f>
        <v>SECRETARIO DE PLANEACION Y OBRAS PUBLICAS</v>
      </c>
      <c r="B152" s="217"/>
      <c r="C152" s="202"/>
      <c r="D152" s="202"/>
      <c r="F152" s="208"/>
      <c r="G152" s="208"/>
      <c r="H152" s="228"/>
    </row>
    <row r="153" spans="1:8" s="385" customFormat="1" ht="13.8" x14ac:dyDescent="0.25">
      <c r="A153" s="407" t="str">
        <f>Presupuesto!D67</f>
        <v>SAN MIGUEL - PUTUMAYO</v>
      </c>
      <c r="B153" s="251"/>
      <c r="C153" s="204"/>
      <c r="D153" s="204"/>
      <c r="F153" s="203"/>
      <c r="G153" s="203"/>
      <c r="H153" s="246"/>
    </row>
  </sheetData>
  <mergeCells count="88">
    <mergeCell ref="B140:G140"/>
    <mergeCell ref="I18:M18"/>
    <mergeCell ref="I68:M68"/>
    <mergeCell ref="I119:M119"/>
    <mergeCell ref="B125:C125"/>
    <mergeCell ref="B126:C126"/>
    <mergeCell ref="B127:C127"/>
    <mergeCell ref="B128:C128"/>
    <mergeCell ref="B130:G130"/>
    <mergeCell ref="B134:G134"/>
    <mergeCell ref="B119:C119"/>
    <mergeCell ref="B120:C120"/>
    <mergeCell ref="B121:C121"/>
    <mergeCell ref="B123:G123"/>
    <mergeCell ref="B124:C124"/>
    <mergeCell ref="I124:M124"/>
    <mergeCell ref="B118:G118"/>
    <mergeCell ref="B89:G89"/>
    <mergeCell ref="A103:A108"/>
    <mergeCell ref="B103:D104"/>
    <mergeCell ref="E103:F103"/>
    <mergeCell ref="E104:F105"/>
    <mergeCell ref="G104:G105"/>
    <mergeCell ref="B105:D105"/>
    <mergeCell ref="B106:D106"/>
    <mergeCell ref="E106:F106"/>
    <mergeCell ref="B107:D108"/>
    <mergeCell ref="E107:F108"/>
    <mergeCell ref="A110:H112"/>
    <mergeCell ref="A114:H114"/>
    <mergeCell ref="B116:F116"/>
    <mergeCell ref="H103:H108"/>
    <mergeCell ref="B83:G83"/>
    <mergeCell ref="B68:C68"/>
    <mergeCell ref="B69:C69"/>
    <mergeCell ref="B70:C70"/>
    <mergeCell ref="B72:G72"/>
    <mergeCell ref="B74:C74"/>
    <mergeCell ref="B75:C75"/>
    <mergeCell ref="B76:C76"/>
    <mergeCell ref="B77:C77"/>
    <mergeCell ref="B79:G79"/>
    <mergeCell ref="I72:M72"/>
    <mergeCell ref="B73:C73"/>
    <mergeCell ref="B57:D58"/>
    <mergeCell ref="E57:F58"/>
    <mergeCell ref="A59:H61"/>
    <mergeCell ref="A63:H63"/>
    <mergeCell ref="B65:F65"/>
    <mergeCell ref="B67:G67"/>
    <mergeCell ref="H53:H58"/>
    <mergeCell ref="E54:F55"/>
    <mergeCell ref="G54:G55"/>
    <mergeCell ref="B55:D55"/>
    <mergeCell ref="B56:D56"/>
    <mergeCell ref="E56:F56"/>
    <mergeCell ref="E4:F4"/>
    <mergeCell ref="B5:D6"/>
    <mergeCell ref="B39:G39"/>
    <mergeCell ref="A53:A58"/>
    <mergeCell ref="B53:D54"/>
    <mergeCell ref="E53:F53"/>
    <mergeCell ref="B33:G33"/>
    <mergeCell ref="B18:C18"/>
    <mergeCell ref="B19:C19"/>
    <mergeCell ref="B20:C20"/>
    <mergeCell ref="B22:G22"/>
    <mergeCell ref="B24:C24"/>
    <mergeCell ref="B25:C25"/>
    <mergeCell ref="B26:C26"/>
    <mergeCell ref="B27:C27"/>
    <mergeCell ref="B29:G29"/>
    <mergeCell ref="I22:M22"/>
    <mergeCell ref="B23:C23"/>
    <mergeCell ref="E5:F6"/>
    <mergeCell ref="A7:H10"/>
    <mergeCell ref="A12:H12"/>
    <mergeCell ref="A13:H13"/>
    <mergeCell ref="B15:F15"/>
    <mergeCell ref="B17:G17"/>
    <mergeCell ref="A1:A6"/>
    <mergeCell ref="B1:D2"/>
    <mergeCell ref="E1:F1"/>
    <mergeCell ref="H1:H6"/>
    <mergeCell ref="E2:F3"/>
    <mergeCell ref="G2:G3"/>
    <mergeCell ref="B3:D3"/>
    <mergeCell ref="B4:D4"/>
  </mergeCells>
  <pageMargins left="0.7" right="0.7" top="0.75" bottom="0.75" header="0.3" footer="0.3"/>
  <pageSetup scale="74" orientation="portrait" horizontalDpi="360" verticalDpi="360" r:id="rId1"/>
  <rowBreaks count="2" manualBreakCount="2">
    <brk id="52" max="16383" man="1"/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10</vt:i4>
      </vt:variant>
    </vt:vector>
  </HeadingPairs>
  <TitlesOfParts>
    <vt:vector size="21" baseType="lpstr">
      <vt:lpstr>BASICO</vt:lpstr>
      <vt:lpstr>Presupuesto</vt:lpstr>
      <vt:lpstr>MEMORIA DE CANTIDADES DE OBRA </vt:lpstr>
      <vt:lpstr>APU</vt:lpstr>
      <vt:lpstr>CRONOGRAMA</vt:lpstr>
      <vt:lpstr>Memoria de Cantidades</vt:lpstr>
      <vt:lpstr>F.M </vt:lpstr>
      <vt:lpstr>CRONOGRAMA--</vt:lpstr>
      <vt:lpstr>DESGLOSE AIU</vt:lpstr>
      <vt:lpstr>BASICOS RURAL</vt:lpstr>
      <vt:lpstr>BASICOS URBANOS</vt:lpstr>
      <vt:lpstr>APU!Área_de_impresión</vt:lpstr>
      <vt:lpstr>BASICO!Área_de_impresión</vt:lpstr>
      <vt:lpstr>'BASICOS RURAL'!Área_de_impresión</vt:lpstr>
      <vt:lpstr>'BASICOS URBANOS'!Área_de_impresión</vt:lpstr>
      <vt:lpstr>CRONOGRAMA!Área_de_impresión</vt:lpstr>
      <vt:lpstr>'CRONOGRAMA--'!Área_de_impresión</vt:lpstr>
      <vt:lpstr>'DESGLOSE AIU'!Área_de_impresión</vt:lpstr>
      <vt:lpstr>'F.M '!Área_de_impresión</vt:lpstr>
      <vt:lpstr>'Memoria de Cantidades'!Área_de_impresión</vt:lpstr>
      <vt:lpstr>'MEMORIA DE CANTIDADES DE OBRA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DELL</cp:lastModifiedBy>
  <cp:lastPrinted>2026-02-13T17:17:49Z</cp:lastPrinted>
  <dcterms:created xsi:type="dcterms:W3CDTF">2018-08-13T21:50:36Z</dcterms:created>
  <dcterms:modified xsi:type="dcterms:W3CDTF">2026-02-27T23:41:46Z</dcterms:modified>
</cp:coreProperties>
</file>